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555" windowHeight="4980" activeTab="0"/>
  </bookViews>
  <sheets>
    <sheet name="Menú" sheetId="1" r:id="rId1"/>
    <sheet name="Ejercicios" sheetId="2" r:id="rId2"/>
    <sheet name="Muetra_Ejericicio" sheetId="3" r:id="rId3"/>
    <sheet name="C. Resultados" sheetId="4" r:id="rId4"/>
    <sheet name="Muestra" sheetId="5" r:id="rId5"/>
  </sheets>
  <definedNames>
    <definedName name="D_17">'Muestra'!#REF!</definedName>
    <definedName name="D_18">'Muestra'!#REF!</definedName>
    <definedName name="D_19">'Muestra'!#REF!</definedName>
    <definedName name="D_20">'C. Resultados'!$A$10</definedName>
    <definedName name="D_22">'C. Resultados'!$A$103</definedName>
    <definedName name="D_25">'C. Resultados'!$A$165</definedName>
    <definedName name="D_27">'C. Resultados'!$A$195</definedName>
    <definedName name="D_28">'C. Resultados'!$A$226</definedName>
    <definedName name="D_30">'C. Resultados'!$A$242</definedName>
    <definedName name="D_32">'C. Resultados'!$A$327</definedName>
    <definedName name="D_33">'C. Resultados'!$A$371</definedName>
    <definedName name="D_36">'C. Resultados'!$A$425</definedName>
    <definedName name="D_38">'C. Resultados'!$A$470</definedName>
    <definedName name="D_42">'C. Resultados'!$A$593</definedName>
    <definedName name="D_46">'C. Resultados'!$A$696</definedName>
    <definedName name="D_53">'C. Resultados'!$A$770</definedName>
    <definedName name="D_57">'Muestra'!$A$1459</definedName>
    <definedName name="D_58">'C. Resultados'!$A$800</definedName>
    <definedName name="D_60">'C. Resultados'!$A$820</definedName>
    <definedName name="D_61">'C. Resultados'!$A$849</definedName>
    <definedName name="G_01">#REF!</definedName>
  </definedNames>
  <calcPr fullCalcOnLoad="1"/>
</workbook>
</file>

<file path=xl/comments2.xml><?xml version="1.0" encoding="utf-8"?>
<comments xmlns="http://schemas.openxmlformats.org/spreadsheetml/2006/main">
  <authors>
    <author>Instituto Tecnologico de Costa Rica</author>
  </authors>
  <commentList>
    <comment ref="A12" authorId="0">
      <text>
        <r>
          <rPr>
            <b/>
            <sz val="8"/>
            <color indexed="54"/>
            <rFont val="Tahoma"/>
            <family val="2"/>
          </rPr>
          <t>Mpontigo:
El sistema arroja un cuadro por variable. Para obtener este deberá editarlo.</t>
        </r>
        <r>
          <rPr>
            <sz val="8"/>
            <color indexed="54"/>
            <rFont val="Tahoma"/>
            <family val="2"/>
          </rPr>
          <t xml:space="preserve">
</t>
        </r>
      </text>
    </comment>
  </commentList>
</comments>
</file>

<file path=xl/comments3.xml><?xml version="1.0" encoding="utf-8"?>
<comments xmlns="http://schemas.openxmlformats.org/spreadsheetml/2006/main">
  <authors>
    <author>Instituto Tecnologico de Costa Rica</author>
  </authors>
  <commentList>
    <comment ref="B3" authorId="0">
      <text>
        <r>
          <rPr>
            <b/>
            <sz val="8"/>
            <color indexed="18"/>
            <rFont val="Tahoma"/>
            <family val="2"/>
          </rPr>
          <t>MPontigo:
Descargue en esta celda su muestra que arrastra desde el archivo E08_...XO2.xls</t>
        </r>
        <r>
          <rPr>
            <sz val="8"/>
            <color indexed="18"/>
            <rFont val="Tahoma"/>
            <family val="2"/>
          </rPr>
          <t xml:space="preserve">
</t>
        </r>
      </text>
    </comment>
  </commentList>
</comments>
</file>

<file path=xl/comments5.xml><?xml version="1.0" encoding="utf-8"?>
<comments xmlns="http://schemas.openxmlformats.org/spreadsheetml/2006/main">
  <authors>
    <author>Instituto Tecnologico de Costa Rica</author>
  </authors>
  <commentList>
    <comment ref="A273" authorId="0">
      <text>
        <r>
          <rPr>
            <b/>
            <sz val="8"/>
            <color indexed="10"/>
            <rFont val="Tahoma"/>
            <family val="2"/>
          </rPr>
          <t>MPontigo:
Copie las columnas de interés para el cuadro de resultados. En ningún caso opere sobre la muestra.</t>
        </r>
        <r>
          <rPr>
            <sz val="8"/>
            <color indexed="10"/>
            <rFont val="Tahoma"/>
            <family val="2"/>
          </rPr>
          <t xml:space="preserve">
</t>
        </r>
      </text>
    </comment>
  </commentList>
</comments>
</file>

<file path=xl/sharedStrings.xml><?xml version="1.0" encoding="utf-8"?>
<sst xmlns="http://schemas.openxmlformats.org/spreadsheetml/2006/main" count="1500" uniqueCount="324">
  <si>
    <t xml:space="preserve">Peso </t>
  </si>
  <si>
    <t>N° Muestra</t>
  </si>
  <si>
    <t>Item</t>
  </si>
  <si>
    <t>Varianza de la muestra</t>
  </si>
  <si>
    <t>Sexo</t>
  </si>
  <si>
    <t>Talla en</t>
  </si>
  <si>
    <t>Nivel Económico</t>
  </si>
  <si>
    <t>Hábitos Higiénicos</t>
  </si>
  <si>
    <t>Hábitos Nutricionales</t>
  </si>
  <si>
    <t>0=Ma/1=fe</t>
  </si>
  <si>
    <t>Centímetros</t>
  </si>
  <si>
    <t>Kilogramos</t>
  </si>
  <si>
    <t>N.E. 1</t>
  </si>
  <si>
    <t>N.E. 2</t>
  </si>
  <si>
    <t>N. E. 3</t>
  </si>
  <si>
    <t>N.E. 4</t>
  </si>
  <si>
    <t>HH. 1</t>
  </si>
  <si>
    <t>HH. 2</t>
  </si>
  <si>
    <t>HH. 3</t>
  </si>
  <si>
    <t>NN. 1</t>
  </si>
  <si>
    <t>NN.2</t>
  </si>
  <si>
    <t>NN.3</t>
  </si>
  <si>
    <t>Media</t>
  </si>
  <si>
    <t>Error típico</t>
  </si>
  <si>
    <t>Mediana</t>
  </si>
  <si>
    <t>Moda</t>
  </si>
  <si>
    <t>Desviación estándar</t>
  </si>
  <si>
    <t>Curtosis</t>
  </si>
  <si>
    <t>Coeficiente de asimetría</t>
  </si>
  <si>
    <t>Rango</t>
  </si>
  <si>
    <t>Mínimo</t>
  </si>
  <si>
    <t>Máximo</t>
  </si>
  <si>
    <t>Suma</t>
  </si>
  <si>
    <t>Cuenta</t>
  </si>
  <si>
    <t>Talla</t>
  </si>
  <si>
    <t>Peso</t>
  </si>
  <si>
    <t>Estadístico</t>
  </si>
  <si>
    <t>Intervalo estimado</t>
  </si>
  <si>
    <t>Divisor</t>
  </si>
  <si>
    <t>Número de clases</t>
  </si>
  <si>
    <t>Iclase fijo</t>
  </si>
  <si>
    <t>Inferior</t>
  </si>
  <si>
    <t>Medio</t>
  </si>
  <si>
    <t>Superior</t>
  </si>
  <si>
    <t>Límtes de Claseses</t>
  </si>
  <si>
    <t>Frecuencias</t>
  </si>
  <si>
    <t>Observadas</t>
  </si>
  <si>
    <t>Relativas</t>
  </si>
  <si>
    <t>Cuadro de Frecuencias.</t>
  </si>
  <si>
    <t>Frecuencia</t>
  </si>
  <si>
    <t>Observada</t>
  </si>
  <si>
    <t>Acumulativa</t>
  </si>
  <si>
    <t>Estadístico de datos agrupados</t>
  </si>
  <si>
    <t>Punto</t>
  </si>
  <si>
    <t>Tamaño muestra</t>
  </si>
  <si>
    <t>Suma Total</t>
  </si>
  <si>
    <t>Promedio</t>
  </si>
  <si>
    <t xml:space="preserve">  Sumas de Cuadrados</t>
  </si>
  <si>
    <t xml:space="preserve">  Varianza</t>
  </si>
  <si>
    <t xml:space="preserve">  D. Estándar</t>
  </si>
  <si>
    <t>* p. Medio</t>
  </si>
  <si>
    <t>Desviaciones</t>
  </si>
  <si>
    <t>Cuadráticas</t>
  </si>
  <si>
    <t>Cúbicas</t>
  </si>
  <si>
    <t>Cuárticas</t>
  </si>
  <si>
    <t xml:space="preserve">  C. Asimetría o sesgo</t>
  </si>
  <si>
    <t xml:space="preserve">  C. Curtosis</t>
  </si>
  <si>
    <t>Máxima desviación absoluta</t>
  </si>
  <si>
    <t xml:space="preserve">Criterio </t>
  </si>
  <si>
    <t>Frecuencias Esperadas</t>
  </si>
  <si>
    <t>de la Clase</t>
  </si>
  <si>
    <t>Absuta</t>
  </si>
  <si>
    <t>Desviacion</t>
  </si>
  <si>
    <t>Limites</t>
  </si>
  <si>
    <t>Rel. Acumul</t>
  </si>
  <si>
    <t>Frecuencias Observadas</t>
  </si>
  <si>
    <t>Por Clase</t>
  </si>
  <si>
    <t>Esperada</t>
  </si>
  <si>
    <t>Primer cuartil usando distribución normal estándar</t>
  </si>
  <si>
    <t>Multiplicador z(25)</t>
  </si>
  <si>
    <t>Desviación Estándar</t>
  </si>
  <si>
    <t>Valor x(25) =</t>
  </si>
  <si>
    <t>Primer Cuartil</t>
  </si>
  <si>
    <t>Orden estadístico 25%</t>
  </si>
  <si>
    <t>Suma acumulativa previa a n25 = 66,75</t>
  </si>
  <si>
    <t>Límite Inferior de la clase n25</t>
  </si>
  <si>
    <t>Frecuencia de la clase 25%</t>
  </si>
  <si>
    <t>Intervalo de clase</t>
  </si>
  <si>
    <t>Valor de Q1</t>
  </si>
  <si>
    <t>Función de la HE</t>
  </si>
  <si>
    <t>Primer Cuartil x25% =</t>
  </si>
  <si>
    <t>Probabilidad 0,05/2</t>
  </si>
  <si>
    <t>Corrector</t>
  </si>
  <si>
    <t>Tamaño de la muestra</t>
  </si>
  <si>
    <t>Límite Inferior</t>
  </si>
  <si>
    <t>Límite Superior</t>
  </si>
  <si>
    <t>14.27</t>
  </si>
  <si>
    <t>Las Variables Discretas.</t>
  </si>
  <si>
    <t>Valor Medio</t>
  </si>
  <si>
    <t>x</t>
  </si>
  <si>
    <t>Relativa</t>
  </si>
  <si>
    <t>Sumas</t>
  </si>
  <si>
    <t>Números</t>
  </si>
  <si>
    <t>Niñas</t>
  </si>
  <si>
    <t>Niños</t>
  </si>
  <si>
    <t>Total</t>
  </si>
  <si>
    <t>D. Estándar</t>
  </si>
  <si>
    <t>Porcentajes</t>
  </si>
  <si>
    <t>Talla:</t>
  </si>
  <si>
    <t>Peso:</t>
  </si>
  <si>
    <t>Comprobar</t>
  </si>
  <si>
    <t>D_30. Contrastando hipótesis sobre porcentajes.</t>
  </si>
  <si>
    <t>Porcentaje de niños:</t>
  </si>
  <si>
    <t>Número de niños observado</t>
  </si>
  <si>
    <t>Proporción esperada</t>
  </si>
  <si>
    <t>Estadístico z</t>
  </si>
  <si>
    <t>Probabilidad de z</t>
  </si>
  <si>
    <t>Probabilidad de t</t>
  </si>
  <si>
    <t>Varianza Ponderada</t>
  </si>
  <si>
    <t>T. Calculada</t>
  </si>
  <si>
    <t>Muestra de niños</t>
  </si>
  <si>
    <t>Muestra de niñas</t>
  </si>
  <si>
    <t>Varianza de niños</t>
  </si>
  <si>
    <t>Varianza de niñas</t>
  </si>
  <si>
    <t>Promedio niños</t>
  </si>
  <si>
    <t>Promedio niñas</t>
  </si>
  <si>
    <t>Contraste de tallas</t>
  </si>
  <si>
    <t>Promedios</t>
  </si>
  <si>
    <t>Nivel</t>
  </si>
  <si>
    <t>Económico</t>
  </si>
  <si>
    <t>Número de</t>
  </si>
  <si>
    <t>Ambos</t>
  </si>
  <si>
    <t>Porcentaje de</t>
  </si>
  <si>
    <t>D_32.  Prueba para proporciones por nivel.</t>
  </si>
  <si>
    <t>Chi-Cudrada</t>
  </si>
  <si>
    <t>Parcial</t>
  </si>
  <si>
    <t>Probabilidad</t>
  </si>
  <si>
    <t>Probabilidad Chi-cuadrada</t>
  </si>
  <si>
    <t>N1</t>
  </si>
  <si>
    <t>N2</t>
  </si>
  <si>
    <t>N3</t>
  </si>
  <si>
    <t>N4</t>
  </si>
  <si>
    <t>Repetición</t>
  </si>
  <si>
    <t>D_33 Andeva para Talla.</t>
  </si>
  <si>
    <t>Análisis de varianza de un factor</t>
  </si>
  <si>
    <t>RESUMEN</t>
  </si>
  <si>
    <t>Grupos</t>
  </si>
  <si>
    <t>Varianza</t>
  </si>
  <si>
    <t>F</t>
  </si>
  <si>
    <t>Entre grupos</t>
  </si>
  <si>
    <t>Dentro de los grupos</t>
  </si>
  <si>
    <t>variaciones</t>
  </si>
  <si>
    <t>Suma de</t>
  </si>
  <si>
    <t xml:space="preserve"> cuadrados</t>
  </si>
  <si>
    <t>Grados de</t>
  </si>
  <si>
    <t>e libertad</t>
  </si>
  <si>
    <t xml:space="preserve">Promedio </t>
  </si>
  <si>
    <t>cuadrados</t>
  </si>
  <si>
    <t>Valores crítico para F</t>
  </si>
  <si>
    <t>Origen de las</t>
  </si>
  <si>
    <t>ANÁLISIS DE VARIANZA DE LA TALLA DE BEBÉS.</t>
  </si>
  <si>
    <t>ANDEVA de peso.</t>
  </si>
  <si>
    <t>N1 vs N2</t>
  </si>
  <si>
    <t>Diferencia</t>
  </si>
  <si>
    <t>n1</t>
  </si>
  <si>
    <t>n2</t>
  </si>
  <si>
    <t>t</t>
  </si>
  <si>
    <t>N1 vs N4</t>
  </si>
  <si>
    <t>N1 vs N3</t>
  </si>
  <si>
    <t>N2 vs N3</t>
  </si>
  <si>
    <t>N2 vs N4</t>
  </si>
  <si>
    <t>N3 vs N4</t>
  </si>
  <si>
    <t>Contraste</t>
  </si>
  <si>
    <t>Tamaño Muestra</t>
  </si>
  <si>
    <t>Resumen</t>
  </si>
  <si>
    <t>Criterios</t>
  </si>
  <si>
    <t>ANÁLISIS DE VARIANZA DEL PESO DE BEBÉS.</t>
  </si>
  <si>
    <t>TALLA</t>
  </si>
  <si>
    <t xml:space="preserve">PESO </t>
  </si>
  <si>
    <t>Hábitos</t>
  </si>
  <si>
    <t>Higiénicos</t>
  </si>
  <si>
    <t>Deficiente</t>
  </si>
  <si>
    <t>Suficiente</t>
  </si>
  <si>
    <t>Bajo</t>
  </si>
  <si>
    <t>Eficiente</t>
  </si>
  <si>
    <t>Medio Bajo</t>
  </si>
  <si>
    <t>Medio Alto</t>
  </si>
  <si>
    <t>Alto</t>
  </si>
  <si>
    <t>Suma Nivel Bajo</t>
  </si>
  <si>
    <t>Suma Nivel Medio Bajo</t>
  </si>
  <si>
    <t>Suma Nivel Medio Alto</t>
  </si>
  <si>
    <t>Suma Nivel Alto</t>
  </si>
  <si>
    <t>Suma H. Nutricionales</t>
  </si>
  <si>
    <t>H. Higiénicos</t>
  </si>
  <si>
    <t>Suma H Higiçenicos</t>
  </si>
  <si>
    <t>Cuadro de tres entradas. Porcentajes</t>
  </si>
  <si>
    <t>Suma H Higiénicos</t>
  </si>
  <si>
    <t>N. Económico</t>
  </si>
  <si>
    <t>S. H. Higiénicos</t>
  </si>
  <si>
    <t>D_39.  Porcentajes. Nivele económico con Hábitos Higiénicos.</t>
  </si>
  <si>
    <t>S. H. Nutricionales</t>
  </si>
  <si>
    <t>S. Nivel</t>
  </si>
  <si>
    <t>D_40. Nivel Económico con Hábitos Nutricionales. Números</t>
  </si>
  <si>
    <t>D_40. Nivel Económico con Hábitos Nutricionales. Porcentajes</t>
  </si>
  <si>
    <t>Esperado</t>
  </si>
  <si>
    <t>Suma de chi-parciales</t>
  </si>
  <si>
    <t>Chi-parcial</t>
  </si>
  <si>
    <t>Probabilidad de la prueba</t>
  </si>
  <si>
    <t>S. H. Notricionales</t>
  </si>
  <si>
    <t>S. Hábitos</t>
  </si>
  <si>
    <t>D_41. Hábitos Higiénicos con H. Nutricionales. Números</t>
  </si>
  <si>
    <t>D_41. Hábitos Higiénicos con H. Nutricionales. Porcentajes</t>
  </si>
  <si>
    <t>Esperados</t>
  </si>
  <si>
    <t>X² parciales</t>
  </si>
  <si>
    <t>Suma Chi-cuadradas parciales</t>
  </si>
  <si>
    <t>Probablida de la chi-cuadrada</t>
  </si>
  <si>
    <t>D_43. Ho; Los Hábitos Higiénicos son Independientes del Nivel Económico.</t>
  </si>
  <si>
    <t>D_44.  Ho; Los Hábitos Nutricionales son Independientes del Nivel Económico.</t>
  </si>
  <si>
    <t>H. Def.</t>
  </si>
  <si>
    <t>H. Suf.</t>
  </si>
  <si>
    <t>H. Efi.</t>
  </si>
  <si>
    <t>N.  Def.</t>
  </si>
  <si>
    <t>N.  Suf.</t>
  </si>
  <si>
    <t>N.  Efi.</t>
  </si>
  <si>
    <t>D_45.   Ho; Los Hábitos Nutricionales son Independientes de los Hábitos Higiénicos.</t>
  </si>
  <si>
    <t>H. Higiénico</t>
  </si>
  <si>
    <t>H. Nutricional</t>
  </si>
  <si>
    <t>Estadísticas de la regresión</t>
  </si>
  <si>
    <t>Coeficiente de correlación múltiple</t>
  </si>
  <si>
    <t>Coeficiente de determinación R^2</t>
  </si>
  <si>
    <t>R^2  ajustado</t>
  </si>
  <si>
    <t>Observaciones</t>
  </si>
  <si>
    <t>ANÁLISIS DE VARIANZA</t>
  </si>
  <si>
    <t>Regresión</t>
  </si>
  <si>
    <t>Residuos</t>
  </si>
  <si>
    <t>Intercepción</t>
  </si>
  <si>
    <t>Coeficientes</t>
  </si>
  <si>
    <t>Estadístico t</t>
  </si>
  <si>
    <t>Inferior 95%</t>
  </si>
  <si>
    <t>Superior 95%</t>
  </si>
  <si>
    <t>Fuente de</t>
  </si>
  <si>
    <t>La variación</t>
  </si>
  <si>
    <t>Libertad</t>
  </si>
  <si>
    <t>Cuadrados</t>
  </si>
  <si>
    <t>Promedio de</t>
  </si>
  <si>
    <t>Probabilida</t>
  </si>
  <si>
    <t>Valores Críticos</t>
  </si>
  <si>
    <t>D_47.  Regresión Sobre el Peso.</t>
  </si>
  <si>
    <t>D_49.  La Correlación.</t>
  </si>
  <si>
    <t>Probabilidades de la Correlación.</t>
  </si>
  <si>
    <t>D_20.  Estadística Descriptiva.</t>
  </si>
  <si>
    <t>D_22.  Prueba de Normalidad.</t>
  </si>
  <si>
    <t>D_25.   25% del peso de la población más bajo.</t>
  </si>
  <si>
    <t>Intervalo de Confianza para el Primer Cuartil</t>
  </si>
  <si>
    <t>D_28.  Las variables Cualitativas.</t>
  </si>
  <si>
    <t>D_33.    Prueba de Variables Continuas. ANDEVA</t>
  </si>
  <si>
    <t>D_36.  Cuadros de tres entradas. Números</t>
  </si>
  <si>
    <t>D_38.  Cuadros de dos entradas.</t>
  </si>
  <si>
    <t>D_42.  Pruebas de Interacción.</t>
  </si>
  <si>
    <t>D_46.   Opciones Inductivas.</t>
  </si>
  <si>
    <t>FIN DEL ARCHIVO.</t>
  </si>
  <si>
    <t>8.21</t>
  </si>
  <si>
    <t>Métodos Indirectos De Comparación.</t>
  </si>
  <si>
    <t>F. Esperada</t>
  </si>
  <si>
    <t>Aporte a</t>
  </si>
  <si>
    <t>Chi-cuadrada</t>
  </si>
  <si>
    <t>NOTA: 8,23</t>
  </si>
  <si>
    <t>Esperadas</t>
  </si>
  <si>
    <t>NOTA: 8,25.</t>
  </si>
  <si>
    <t>8.26</t>
  </si>
  <si>
    <t>Los Intervalos Confiables Para Los Cuartiles.</t>
  </si>
  <si>
    <t>Observado</t>
  </si>
  <si>
    <t>Chi-Cuadrada</t>
  </si>
  <si>
    <t>NOTA 8.30.</t>
  </si>
  <si>
    <t>P(z)</t>
  </si>
  <si>
    <t>Varianza de diferencias</t>
  </si>
  <si>
    <t>Mediante la HE</t>
  </si>
  <si>
    <t>Contraste de pesos por sexo</t>
  </si>
  <si>
    <t>8.31</t>
  </si>
  <si>
    <t>El Nivel Económico y Las Variables Cuantitativas.</t>
  </si>
  <si>
    <t xml:space="preserve">Cantidad esperada por grupo </t>
  </si>
  <si>
    <t>Tamaño de la población</t>
  </si>
  <si>
    <t>Número de grupos</t>
  </si>
  <si>
    <t>Suma Chi-cuadrada</t>
  </si>
  <si>
    <t>NOTA: 8,32.</t>
  </si>
  <si>
    <t>D_39.  Número de Individuos. Nivel económico con Hábitos Higiénicos.</t>
  </si>
  <si>
    <t>Estimado</t>
  </si>
  <si>
    <t>Porcentaje</t>
  </si>
  <si>
    <t>Relativo</t>
  </si>
  <si>
    <t>Peso en kg.</t>
  </si>
  <si>
    <t>NOTA 8,48.</t>
  </si>
  <si>
    <t>D_54. Ejemplo de la Asignación por Estratos.</t>
  </si>
  <si>
    <t>Tamaño de muestra en peso de bebés:</t>
  </si>
  <si>
    <t>Cuadrado Medio del Error</t>
  </si>
  <si>
    <t>Nivel de confianza 0,01/2</t>
  </si>
  <si>
    <t>Precisión 2,5% de media</t>
  </si>
  <si>
    <t>Tamaño de Muestra</t>
  </si>
  <si>
    <t>Proporción</t>
  </si>
  <si>
    <t>Muestras</t>
  </si>
  <si>
    <t>Estratos</t>
  </si>
  <si>
    <t>n * c.v.</t>
  </si>
  <si>
    <t>D_57. Elección de la muestra.</t>
  </si>
  <si>
    <t>D_58.  Muestreo por etapas.</t>
  </si>
  <si>
    <t>Distritos</t>
  </si>
  <si>
    <t>Cantones</t>
  </si>
  <si>
    <t>Fincas</t>
  </si>
  <si>
    <t>Cultivares</t>
  </si>
  <si>
    <t>Calles</t>
  </si>
  <si>
    <t>Matas</t>
  </si>
  <si>
    <t>8.55</t>
  </si>
  <si>
    <t>Asignación proporcional al tamaño del estrato.</t>
  </si>
  <si>
    <t>8.56</t>
  </si>
  <si>
    <t xml:space="preserve"> Asignación Eficiente de la Muestra.</t>
  </si>
  <si>
    <t>D_53   Muestreo por Estratos o Estratificado</t>
  </si>
  <si>
    <t>Nivel 1</t>
  </si>
  <si>
    <t>Nivel 2</t>
  </si>
  <si>
    <t>Nivel 3</t>
  </si>
  <si>
    <t>Nivel 4</t>
  </si>
  <si>
    <t>Precisión</t>
  </si>
  <si>
    <t>Nivel de Confianza</t>
  </si>
  <si>
    <t>Proporción p</t>
  </si>
  <si>
    <t>D_60.   Tamaño de la muestra para variables cualitativas.</t>
  </si>
  <si>
    <t>D_61.   tamaño de Muestra Para Variables Cualitativas.</t>
  </si>
  <si>
    <t>Correlación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</si>
</sst>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00"/>
    <numFmt numFmtId="173" formatCode="0.0000"/>
    <numFmt numFmtId="174" formatCode="0.000000"/>
    <numFmt numFmtId="175" formatCode="0.00000"/>
    <numFmt numFmtId="176" formatCode="0.0000000"/>
    <numFmt numFmtId="177" formatCode="0.0"/>
    <numFmt numFmtId="178" formatCode="#,##0.0000"/>
    <numFmt numFmtId="179" formatCode="#,##0.000"/>
    <numFmt numFmtId="180" formatCode="#,##0.0"/>
    <numFmt numFmtId="181" formatCode="0.00000000"/>
    <numFmt numFmtId="182" formatCode="0.0000000000"/>
    <numFmt numFmtId="183" formatCode="0.000000000"/>
    <numFmt numFmtId="184" formatCode="#,##0.00000"/>
    <numFmt numFmtId="185" formatCode="&quot;Sí&quot;;&quot;Sí&quot;;&quot;No&quot;"/>
    <numFmt numFmtId="186" formatCode="&quot;Verdadero&quot;;&quot;Verdadero&quot;;&quot;Falso&quot;"/>
    <numFmt numFmtId="187" formatCode="&quot;Activado&quot;;&quot;Activado&quot;;&quot;Desactivado&quot;"/>
    <numFmt numFmtId="188" formatCode="0.00000000000"/>
    <numFmt numFmtId="189" formatCode="0.0%"/>
  </numFmts>
  <fonts count="53">
    <font>
      <sz val="10"/>
      <name val="Arial"/>
      <family val="0"/>
    </font>
    <font>
      <b/>
      <sz val="10"/>
      <color indexed="10"/>
      <name val="Arial"/>
      <family val="2"/>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7"/>
      <name val="Arial"/>
      <family val="2"/>
    </font>
    <font>
      <b/>
      <sz val="10"/>
      <name val="Arial"/>
      <family val="2"/>
    </font>
    <font>
      <b/>
      <sz val="8"/>
      <color indexed="17"/>
      <name val="Arial"/>
      <family val="2"/>
    </font>
    <font>
      <b/>
      <sz val="12"/>
      <name val="Arial"/>
      <family val="0"/>
    </font>
    <font>
      <i/>
      <sz val="10"/>
      <name val="Arial"/>
      <family val="0"/>
    </font>
    <font>
      <i/>
      <sz val="8"/>
      <name val="Arial"/>
      <family val="2"/>
    </font>
    <font>
      <b/>
      <sz val="8.25"/>
      <name val="Arial"/>
      <family val="2"/>
    </font>
    <font>
      <sz val="11.5"/>
      <name val="Arial"/>
      <family val="0"/>
    </font>
    <font>
      <sz val="8.25"/>
      <name val="Arial"/>
      <family val="2"/>
    </font>
    <font>
      <b/>
      <sz val="11.5"/>
      <name val="Arial"/>
      <family val="0"/>
    </font>
    <font>
      <b/>
      <sz val="8"/>
      <name val="Arial"/>
      <family val="2"/>
    </font>
    <font>
      <b/>
      <sz val="11"/>
      <name val="Arial"/>
      <family val="0"/>
    </font>
    <font>
      <b/>
      <sz val="9.25"/>
      <name val="Arial"/>
      <family val="0"/>
    </font>
    <font>
      <sz val="9.25"/>
      <name val="Arial"/>
      <family val="0"/>
    </font>
    <font>
      <b/>
      <sz val="20"/>
      <color indexed="13"/>
      <name val="Arial"/>
      <family val="2"/>
    </font>
    <font>
      <b/>
      <sz val="10"/>
      <color indexed="13"/>
      <name val="Arial"/>
      <family val="2"/>
    </font>
    <font>
      <b/>
      <sz val="8"/>
      <color indexed="10"/>
      <name val="Arial"/>
      <family val="2"/>
    </font>
    <font>
      <b/>
      <sz val="16"/>
      <color indexed="13"/>
      <name val="Arial"/>
      <family val="2"/>
    </font>
    <font>
      <b/>
      <i/>
      <sz val="8"/>
      <name val="Arial"/>
      <family val="2"/>
    </font>
    <font>
      <b/>
      <sz val="14.5"/>
      <name val="Arial"/>
      <family val="2"/>
    </font>
    <font>
      <b/>
      <sz val="10.75"/>
      <name val="Arial"/>
      <family val="2"/>
    </font>
    <font>
      <sz val="15"/>
      <name val="Arial"/>
      <family val="0"/>
    </font>
    <font>
      <b/>
      <sz val="9.75"/>
      <name val="Arial"/>
      <family val="2"/>
    </font>
    <font>
      <sz val="11"/>
      <name val="Arial"/>
      <family val="0"/>
    </font>
    <font>
      <sz val="10.75"/>
      <name val="Arial"/>
      <family val="0"/>
    </font>
    <font>
      <b/>
      <sz val="8"/>
      <color indexed="10"/>
      <name val="Tahoma"/>
      <family val="2"/>
    </font>
    <font>
      <sz val="8"/>
      <color indexed="10"/>
      <name val="Tahoma"/>
      <family val="2"/>
    </font>
    <font>
      <b/>
      <sz val="8"/>
      <color indexed="12"/>
      <name val="Arial"/>
      <family val="2"/>
    </font>
    <font>
      <sz val="10"/>
      <color indexed="12"/>
      <name val="Arial"/>
      <family val="2"/>
    </font>
    <font>
      <sz val="8"/>
      <color indexed="12"/>
      <name val="Arial"/>
      <family val="2"/>
    </font>
    <font>
      <i/>
      <sz val="8"/>
      <color indexed="12"/>
      <name val="Arial"/>
      <family val="2"/>
    </font>
    <font>
      <i/>
      <sz val="10"/>
      <color indexed="12"/>
      <name val="Arial"/>
      <family val="2"/>
    </font>
    <font>
      <b/>
      <i/>
      <sz val="10"/>
      <name val="Arial"/>
      <family val="2"/>
    </font>
    <font>
      <sz val="14.25"/>
      <name val="Arial"/>
      <family val="0"/>
    </font>
    <font>
      <sz val="10.5"/>
      <name val="Arial"/>
      <family val="0"/>
    </font>
    <font>
      <sz val="12"/>
      <name val="Arial"/>
      <family val="0"/>
    </font>
    <font>
      <sz val="11.75"/>
      <name val="Arial"/>
      <family val="0"/>
    </font>
    <font>
      <b/>
      <sz val="10.5"/>
      <name val="Arial"/>
      <family val="0"/>
    </font>
    <font>
      <b/>
      <sz val="8"/>
      <color indexed="18"/>
      <name val="Tahoma"/>
      <family val="2"/>
    </font>
    <font>
      <sz val="8"/>
      <color indexed="18"/>
      <name val="Tahoma"/>
      <family val="2"/>
    </font>
    <font>
      <b/>
      <sz val="8"/>
      <color indexed="54"/>
      <name val="Tahoma"/>
      <family val="2"/>
    </font>
    <font>
      <sz val="8"/>
      <color indexed="54"/>
      <name val="Tahoma"/>
      <family val="2"/>
    </font>
    <font>
      <b/>
      <sz val="28"/>
      <color indexed="17"/>
      <name val="Arial"/>
      <family val="2"/>
    </font>
    <font>
      <b/>
      <sz val="8"/>
      <color indexed="56"/>
      <name val="Arial"/>
      <family val="2"/>
    </font>
    <font>
      <b/>
      <sz val="10"/>
      <color indexed="56"/>
      <name val="Arial"/>
      <family val="2"/>
    </font>
    <font>
      <b/>
      <sz val="9"/>
      <name val="Arial"/>
      <family val="2"/>
    </font>
    <font>
      <b/>
      <sz val="10"/>
      <color indexed="18"/>
      <name val="Arial"/>
      <family val="2"/>
    </font>
  </fonts>
  <fills count="12">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s>
  <borders count="34">
    <border>
      <left/>
      <right/>
      <top/>
      <bottom/>
      <diagonal/>
    </border>
    <border>
      <left style="thin"/>
      <right>
        <color indexed="63"/>
      </right>
      <top style="thin"/>
      <bottom>
        <color indexed="63"/>
      </bottom>
    </border>
    <border>
      <left style="thin"/>
      <right style="thin"/>
      <top style="thin"/>
      <bottom>
        <color indexed="63"/>
      </bottom>
    </border>
    <border>
      <left style="thin"/>
      <right style="thin"/>
      <top>
        <color indexed="63"/>
      </top>
      <bottom style="double"/>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thin"/>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style="medium"/>
    </border>
    <border>
      <left>
        <color indexed="63"/>
      </left>
      <right>
        <color indexed="63"/>
      </right>
      <top style="medium"/>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79">
    <xf numFmtId="0" fontId="0" fillId="0" borderId="0" xfId="0" applyAlignment="1">
      <alignment/>
    </xf>
    <xf numFmtId="0" fontId="0" fillId="0" borderId="1" xfId="0" applyBorder="1" applyAlignment="1">
      <alignment/>
    </xf>
    <xf numFmtId="0" fontId="0" fillId="0" borderId="2" xfId="0" applyBorder="1" applyAlignment="1">
      <alignment horizontal="center"/>
    </xf>
    <xf numFmtId="0" fontId="0" fillId="0" borderId="3" xfId="0" applyFont="1" applyBorder="1" applyAlignment="1">
      <alignment horizontal="right"/>
    </xf>
    <xf numFmtId="0" fontId="0" fillId="0" borderId="4" xfId="0" applyBorder="1" applyAlignment="1">
      <alignment/>
    </xf>
    <xf numFmtId="0" fontId="0" fillId="2" borderId="5" xfId="0" applyFont="1" applyFill="1" applyBorder="1" applyAlignment="1">
      <alignment/>
    </xf>
    <xf numFmtId="172" fontId="0" fillId="3" borderId="4" xfId="0" applyNumberFormat="1" applyFont="1" applyFill="1" applyBorder="1" applyAlignment="1">
      <alignment/>
    </xf>
    <xf numFmtId="0" fontId="0" fillId="0" borderId="6" xfId="0" applyBorder="1" applyAlignment="1">
      <alignment/>
    </xf>
    <xf numFmtId="172" fontId="0" fillId="3" borderId="6" xfId="0" applyNumberFormat="1" applyFont="1" applyFill="1" applyBorder="1" applyAlignment="1">
      <alignment/>
    </xf>
    <xf numFmtId="0" fontId="0" fillId="0" borderId="2" xfId="0" applyFill="1" applyBorder="1" applyAlignment="1">
      <alignment horizontal="center"/>
    </xf>
    <xf numFmtId="0" fontId="0" fillId="0" borderId="4" xfId="0" applyFill="1" applyBorder="1" applyAlignment="1">
      <alignment/>
    </xf>
    <xf numFmtId="0" fontId="0" fillId="0" borderId="0" xfId="0" applyFill="1" applyBorder="1" applyAlignment="1">
      <alignment/>
    </xf>
    <xf numFmtId="0" fontId="0" fillId="0" borderId="6" xfId="0" applyFill="1" applyBorder="1" applyAlignment="1">
      <alignment/>
    </xf>
    <xf numFmtId="0" fontId="6" fillId="0" borderId="0" xfId="0" applyFont="1" applyAlignment="1">
      <alignment/>
    </xf>
    <xf numFmtId="0" fontId="0" fillId="0" borderId="5" xfId="0" applyBorder="1" applyAlignment="1">
      <alignment/>
    </xf>
    <xf numFmtId="0" fontId="0" fillId="0" borderId="0" xfId="0" applyBorder="1" applyAlignment="1">
      <alignment/>
    </xf>
    <xf numFmtId="173" fontId="0" fillId="0" borderId="4" xfId="0" applyNumberFormat="1" applyBorder="1" applyAlignment="1">
      <alignment/>
    </xf>
    <xf numFmtId="172" fontId="0" fillId="0" borderId="4" xfId="0" applyNumberFormat="1" applyBorder="1" applyAlignment="1">
      <alignment/>
    </xf>
    <xf numFmtId="0" fontId="5" fillId="0" borderId="0" xfId="0" applyFont="1" applyAlignment="1">
      <alignment/>
    </xf>
    <xf numFmtId="0" fontId="5" fillId="0" borderId="3" xfId="0" applyFont="1" applyFill="1" applyBorder="1" applyAlignment="1">
      <alignment horizontal="center"/>
    </xf>
    <xf numFmtId="0" fontId="0" fillId="0" borderId="7" xfId="0" applyBorder="1" applyAlignment="1">
      <alignment/>
    </xf>
    <xf numFmtId="0" fontId="0" fillId="0" borderId="8" xfId="0" applyBorder="1" applyAlignment="1">
      <alignment/>
    </xf>
    <xf numFmtId="0" fontId="0" fillId="0" borderId="2" xfId="0" applyFill="1" applyBorder="1" applyAlignment="1">
      <alignment/>
    </xf>
    <xf numFmtId="0" fontId="0" fillId="0" borderId="9" xfId="0" applyBorder="1" applyAlignment="1">
      <alignment horizontal="center"/>
    </xf>
    <xf numFmtId="0" fontId="0" fillId="0" borderId="3" xfId="0" applyFont="1" applyFill="1" applyBorder="1" applyAlignment="1">
      <alignment horizontal="right"/>
    </xf>
    <xf numFmtId="0" fontId="0" fillId="0" borderId="10" xfId="0" applyFont="1" applyBorder="1" applyAlignment="1">
      <alignment horizontal="right"/>
    </xf>
    <xf numFmtId="0" fontId="0" fillId="0" borderId="11" xfId="0" applyFont="1" applyFill="1" applyBorder="1" applyAlignment="1">
      <alignment horizontal="right"/>
    </xf>
    <xf numFmtId="0" fontId="0" fillId="3" borderId="4" xfId="0" applyFont="1" applyFill="1" applyBorder="1" applyAlignment="1">
      <alignment/>
    </xf>
    <xf numFmtId="0" fontId="0" fillId="3" borderId="5" xfId="0" applyFont="1" applyFill="1" applyBorder="1" applyAlignment="1">
      <alignment/>
    </xf>
    <xf numFmtId="0" fontId="0" fillId="4" borderId="5" xfId="0" applyFont="1" applyFill="1" applyBorder="1" applyAlignment="1">
      <alignment/>
    </xf>
    <xf numFmtId="0" fontId="0" fillId="3" borderId="6" xfId="0" applyFont="1" applyFill="1" applyBorder="1" applyAlignment="1">
      <alignment/>
    </xf>
    <xf numFmtId="0" fontId="0" fillId="0" borderId="0" xfId="0" applyFill="1" applyAlignment="1">
      <alignment/>
    </xf>
    <xf numFmtId="0" fontId="0" fillId="0" borderId="0" xfId="0" applyFill="1" applyBorder="1" applyAlignment="1">
      <alignment/>
    </xf>
    <xf numFmtId="1" fontId="0" fillId="0" borderId="4" xfId="0" applyNumberFormat="1" applyBorder="1" applyAlignment="1">
      <alignment/>
    </xf>
    <xf numFmtId="0" fontId="5" fillId="0" borderId="12" xfId="0" applyFont="1" applyBorder="1" applyAlignment="1">
      <alignment horizontal="center"/>
    </xf>
    <xf numFmtId="0" fontId="5" fillId="0" borderId="3" xfId="0" applyFont="1" applyBorder="1" applyAlignment="1">
      <alignment horizontal="center"/>
    </xf>
    <xf numFmtId="0" fontId="5" fillId="0" borderId="10" xfId="0" applyFont="1" applyBorder="1" applyAlignment="1">
      <alignment horizontal="center"/>
    </xf>
    <xf numFmtId="172" fontId="0" fillId="0" borderId="13" xfId="0" applyNumberFormat="1" applyBorder="1" applyAlignment="1">
      <alignment/>
    </xf>
    <xf numFmtId="0" fontId="5" fillId="0" borderId="7"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177" fontId="0" fillId="0" borderId="6" xfId="0" applyNumberFormat="1" applyBorder="1" applyAlignment="1">
      <alignment/>
    </xf>
    <xf numFmtId="0" fontId="0" fillId="0" borderId="9" xfId="0" applyBorder="1" applyAlignment="1">
      <alignment/>
    </xf>
    <xf numFmtId="0" fontId="0" fillId="0" borderId="14" xfId="0" applyBorder="1" applyAlignment="1">
      <alignment/>
    </xf>
    <xf numFmtId="172" fontId="0" fillId="5" borderId="2" xfId="0" applyNumberFormat="1" applyFill="1" applyBorder="1" applyAlignment="1">
      <alignment/>
    </xf>
    <xf numFmtId="0" fontId="0" fillId="5" borderId="4" xfId="0" applyFill="1" applyBorder="1" applyAlignment="1">
      <alignment/>
    </xf>
    <xf numFmtId="1" fontId="0" fillId="5" borderId="4" xfId="0" applyNumberFormat="1" applyFill="1" applyBorder="1" applyAlignment="1">
      <alignment/>
    </xf>
    <xf numFmtId="0" fontId="0" fillId="5" borderId="6" xfId="0" applyFill="1" applyBorder="1" applyAlignment="1">
      <alignment/>
    </xf>
    <xf numFmtId="0" fontId="2" fillId="5" borderId="6" xfId="0" applyFont="1" applyFill="1" applyBorder="1" applyAlignment="1">
      <alignment/>
    </xf>
    <xf numFmtId="172" fontId="0" fillId="0" borderId="5" xfId="0" applyNumberFormat="1" applyBorder="1" applyAlignment="1">
      <alignment/>
    </xf>
    <xf numFmtId="173" fontId="0" fillId="0" borderId="0" xfId="0" applyNumberFormat="1" applyBorder="1" applyAlignment="1">
      <alignment/>
    </xf>
    <xf numFmtId="173" fontId="0" fillId="0" borderId="15" xfId="0" applyNumberFormat="1" applyBorder="1" applyAlignment="1">
      <alignment/>
    </xf>
    <xf numFmtId="0" fontId="5" fillId="0" borderId="0" xfId="0" applyFont="1" applyBorder="1" applyAlignment="1">
      <alignment/>
    </xf>
    <xf numFmtId="0" fontId="5" fillId="0" borderId="14" xfId="0" applyFont="1" applyBorder="1" applyAlignment="1">
      <alignment/>
    </xf>
    <xf numFmtId="172" fontId="0" fillId="0" borderId="4" xfId="0" applyNumberFormat="1" applyFont="1" applyBorder="1" applyAlignment="1">
      <alignment/>
    </xf>
    <xf numFmtId="0" fontId="0" fillId="0" borderId="13" xfId="0" applyBorder="1" applyAlignment="1">
      <alignment/>
    </xf>
    <xf numFmtId="173" fontId="0" fillId="0" borderId="16" xfId="0" applyNumberFormat="1" applyBorder="1" applyAlignment="1">
      <alignment/>
    </xf>
    <xf numFmtId="172" fontId="0" fillId="0" borderId="13" xfId="0" applyNumberFormat="1" applyFont="1" applyBorder="1" applyAlignment="1">
      <alignment/>
    </xf>
    <xf numFmtId="173" fontId="0" fillId="0" borderId="17" xfId="0" applyNumberFormat="1" applyBorder="1" applyAlignment="1">
      <alignment/>
    </xf>
    <xf numFmtId="0" fontId="5" fillId="0" borderId="2" xfId="0" applyFont="1" applyBorder="1" applyAlignment="1">
      <alignment horizontal="center"/>
    </xf>
    <xf numFmtId="0" fontId="5" fillId="0" borderId="5" xfId="0" applyFont="1" applyBorder="1" applyAlignment="1">
      <alignment horizontal="center"/>
    </xf>
    <xf numFmtId="0" fontId="5" fillId="0" borderId="18" xfId="0" applyFont="1" applyBorder="1" applyAlignment="1">
      <alignment/>
    </xf>
    <xf numFmtId="0" fontId="5" fillId="0" borderId="15" xfId="0" applyFont="1" applyBorder="1" applyAlignment="1">
      <alignment/>
    </xf>
    <xf numFmtId="0" fontId="5" fillId="0" borderId="19" xfId="0" applyFont="1" applyBorder="1" applyAlignment="1">
      <alignment/>
    </xf>
    <xf numFmtId="178" fontId="0" fillId="0" borderId="4" xfId="0" applyNumberFormat="1" applyBorder="1" applyAlignment="1">
      <alignment/>
    </xf>
    <xf numFmtId="179" fontId="0" fillId="0" borderId="4" xfId="0" applyNumberFormat="1" applyBorder="1" applyAlignment="1">
      <alignment/>
    </xf>
    <xf numFmtId="178" fontId="0" fillId="0" borderId="0" xfId="0" applyNumberFormat="1" applyBorder="1" applyAlignment="1">
      <alignment/>
    </xf>
    <xf numFmtId="179" fontId="0" fillId="0" borderId="13" xfId="0" applyNumberFormat="1" applyBorder="1" applyAlignment="1">
      <alignment/>
    </xf>
    <xf numFmtId="0" fontId="0" fillId="0" borderId="16" xfId="0" applyBorder="1" applyAlignment="1">
      <alignment/>
    </xf>
    <xf numFmtId="178" fontId="0" fillId="0" borderId="13" xfId="0" applyNumberFormat="1" applyBorder="1" applyAlignment="1">
      <alignment/>
    </xf>
    <xf numFmtId="178" fontId="0" fillId="0" borderId="16" xfId="0" applyNumberFormat="1" applyBorder="1" applyAlignment="1">
      <alignment/>
    </xf>
    <xf numFmtId="0" fontId="5" fillId="0" borderId="0" xfId="0" applyFont="1" applyBorder="1" applyAlignment="1">
      <alignment/>
    </xf>
    <xf numFmtId="172" fontId="0" fillId="6" borderId="8" xfId="0" applyNumberFormat="1" applyFill="1" applyBorder="1" applyAlignment="1">
      <alignment/>
    </xf>
    <xf numFmtId="173" fontId="0" fillId="2" borderId="2" xfId="0" applyNumberFormat="1" applyFill="1" applyBorder="1" applyAlignment="1">
      <alignment/>
    </xf>
    <xf numFmtId="173" fontId="0" fillId="2" borderId="4" xfId="0" applyNumberFormat="1" applyFill="1" applyBorder="1" applyAlignment="1">
      <alignment/>
    </xf>
    <xf numFmtId="173" fontId="0" fillId="4" borderId="4" xfId="0" applyNumberFormat="1" applyFill="1" applyBorder="1" applyAlignment="1">
      <alignment/>
    </xf>
    <xf numFmtId="173" fontId="0" fillId="0" borderId="0" xfId="0" applyNumberFormat="1" applyAlignment="1">
      <alignment/>
    </xf>
    <xf numFmtId="172" fontId="0" fillId="0" borderId="0" xfId="0" applyNumberFormat="1" applyAlignment="1">
      <alignment/>
    </xf>
    <xf numFmtId="178" fontId="0" fillId="0" borderId="0" xfId="0" applyNumberFormat="1" applyAlignment="1">
      <alignment/>
    </xf>
    <xf numFmtId="173" fontId="0" fillId="7" borderId="4" xfId="0" applyNumberFormat="1" applyFill="1" applyBorder="1" applyAlignment="1">
      <alignment/>
    </xf>
    <xf numFmtId="173" fontId="0" fillId="8" borderId="6" xfId="0" applyNumberFormat="1" applyFill="1" applyBorder="1" applyAlignment="1">
      <alignment/>
    </xf>
    <xf numFmtId="178" fontId="0" fillId="8" borderId="4" xfId="0" applyNumberFormat="1" applyFill="1" applyBorder="1" applyAlignment="1">
      <alignment/>
    </xf>
    <xf numFmtId="173" fontId="0" fillId="0" borderId="13" xfId="0" applyNumberFormat="1" applyBorder="1" applyAlignment="1">
      <alignment/>
    </xf>
    <xf numFmtId="178" fontId="0" fillId="2" borderId="4" xfId="0" applyNumberFormat="1" applyFill="1" applyBorder="1" applyAlignment="1">
      <alignment/>
    </xf>
    <xf numFmtId="177" fontId="0" fillId="0" borderId="4" xfId="0" applyNumberFormat="1" applyBorder="1" applyAlignment="1">
      <alignment/>
    </xf>
    <xf numFmtId="0" fontId="0" fillId="0" borderId="19" xfId="0" applyBorder="1" applyAlignment="1">
      <alignment/>
    </xf>
    <xf numFmtId="0" fontId="5" fillId="0" borderId="20" xfId="0" applyFont="1" applyBorder="1" applyAlignment="1">
      <alignment horizontal="center"/>
    </xf>
    <xf numFmtId="177" fontId="0" fillId="0" borderId="15" xfId="0" applyNumberFormat="1" applyBorder="1" applyAlignment="1">
      <alignment/>
    </xf>
    <xf numFmtId="177" fontId="0" fillId="0" borderId="17" xfId="0" applyNumberFormat="1" applyBorder="1" applyAlignment="1">
      <alignment/>
    </xf>
    <xf numFmtId="0" fontId="0" fillId="5" borderId="5" xfId="0" applyFont="1" applyFill="1" applyBorder="1" applyAlignment="1">
      <alignment/>
    </xf>
    <xf numFmtId="0" fontId="0" fillId="5" borderId="4" xfId="0" applyFont="1" applyFill="1" applyBorder="1" applyAlignment="1">
      <alignment/>
    </xf>
    <xf numFmtId="0" fontId="0" fillId="2" borderId="4" xfId="0" applyFont="1" applyFill="1" applyBorder="1" applyAlignment="1">
      <alignment/>
    </xf>
    <xf numFmtId="0" fontId="0" fillId="2" borderId="6" xfId="0" applyFont="1" applyFill="1" applyBorder="1" applyAlignment="1">
      <alignment/>
    </xf>
    <xf numFmtId="0" fontId="5" fillId="0" borderId="5" xfId="0" applyFont="1" applyBorder="1" applyAlignment="1">
      <alignment/>
    </xf>
    <xf numFmtId="0" fontId="5" fillId="0" borderId="8" xfId="0" applyFont="1" applyBorder="1" applyAlignment="1">
      <alignment/>
    </xf>
    <xf numFmtId="0" fontId="5" fillId="0" borderId="0" xfId="0" applyFont="1" applyAlignment="1">
      <alignment/>
    </xf>
    <xf numFmtId="2" fontId="0" fillId="0" borderId="4" xfId="0" applyNumberFormat="1" applyBorder="1" applyAlignment="1">
      <alignment/>
    </xf>
    <xf numFmtId="173" fontId="0" fillId="0" borderId="6" xfId="0" applyNumberFormat="1" applyBorder="1" applyAlignment="1">
      <alignment/>
    </xf>
    <xf numFmtId="177" fontId="0" fillId="0" borderId="0" xfId="0" applyNumberFormat="1" applyBorder="1" applyAlignment="1">
      <alignment/>
    </xf>
    <xf numFmtId="2" fontId="0" fillId="0" borderId="0" xfId="0" applyNumberFormat="1" applyBorder="1" applyAlignment="1">
      <alignment/>
    </xf>
    <xf numFmtId="172" fontId="0" fillId="0" borderId="0" xfId="0" applyNumberFormat="1" applyBorder="1" applyAlignment="1">
      <alignment/>
    </xf>
    <xf numFmtId="173" fontId="0" fillId="0" borderId="14" xfId="0" applyNumberFormat="1" applyBorder="1" applyAlignment="1">
      <alignment/>
    </xf>
    <xf numFmtId="0" fontId="5" fillId="0" borderId="21" xfId="0" applyFont="1" applyBorder="1" applyAlignment="1">
      <alignment/>
    </xf>
    <xf numFmtId="0" fontId="5" fillId="0" borderId="22" xfId="0" applyFont="1" applyBorder="1" applyAlignment="1">
      <alignment horizontal="center"/>
    </xf>
    <xf numFmtId="0" fontId="5" fillId="0" borderId="5" xfId="0" applyFont="1" applyBorder="1" applyAlignment="1">
      <alignment horizontal="right"/>
    </xf>
    <xf numFmtId="0" fontId="5" fillId="0" borderId="8" xfId="0" applyFont="1" applyBorder="1" applyAlignment="1">
      <alignment horizontal="right"/>
    </xf>
    <xf numFmtId="0" fontId="5" fillId="0" borderId="7" xfId="0" applyFont="1" applyBorder="1" applyAlignment="1">
      <alignment horizontal="center"/>
    </xf>
    <xf numFmtId="0" fontId="5" fillId="0" borderId="4" xfId="0" applyFont="1" applyBorder="1" applyAlignment="1">
      <alignment/>
    </xf>
    <xf numFmtId="0" fontId="5" fillId="0" borderId="6" xfId="0" applyFont="1" applyBorder="1" applyAlignment="1">
      <alignment/>
    </xf>
    <xf numFmtId="179" fontId="5" fillId="0" borderId="3" xfId="0" applyNumberFormat="1" applyFont="1" applyBorder="1" applyAlignment="1">
      <alignment/>
    </xf>
    <xf numFmtId="0" fontId="0" fillId="2" borderId="4" xfId="0" applyFill="1" applyBorder="1" applyAlignment="1">
      <alignment/>
    </xf>
    <xf numFmtId="0" fontId="0" fillId="0" borderId="22" xfId="0" applyBorder="1" applyAlignment="1">
      <alignment/>
    </xf>
    <xf numFmtId="173" fontId="0" fillId="5" borderId="6" xfId="0" applyNumberFormat="1" applyFill="1" applyBorder="1" applyAlignment="1">
      <alignment/>
    </xf>
    <xf numFmtId="2" fontId="0" fillId="0" borderId="0" xfId="0" applyNumberFormat="1" applyAlignment="1">
      <alignment/>
    </xf>
    <xf numFmtId="0" fontId="0" fillId="0" borderId="15" xfId="0" applyBorder="1" applyAlignment="1">
      <alignment/>
    </xf>
    <xf numFmtId="0" fontId="0" fillId="4" borderId="4" xfId="0" applyFont="1" applyFill="1" applyBorder="1" applyAlignment="1">
      <alignment/>
    </xf>
    <xf numFmtId="2" fontId="0" fillId="0" borderId="14" xfId="0" applyNumberFormat="1" applyBorder="1" applyAlignment="1">
      <alignment/>
    </xf>
    <xf numFmtId="2" fontId="0" fillId="0" borderId="6" xfId="0" applyNumberFormat="1" applyBorder="1" applyAlignment="1">
      <alignment/>
    </xf>
    <xf numFmtId="0" fontId="5" fillId="0" borderId="10" xfId="0" applyFont="1" applyBorder="1" applyAlignment="1">
      <alignment horizontal="center"/>
    </xf>
    <xf numFmtId="172" fontId="0" fillId="0" borderId="6" xfId="0" applyNumberFormat="1" applyBorder="1" applyAlignment="1">
      <alignment/>
    </xf>
    <xf numFmtId="1" fontId="0" fillId="0" borderId="6" xfId="0" applyNumberFormat="1" applyBorder="1" applyAlignment="1">
      <alignment/>
    </xf>
    <xf numFmtId="1" fontId="0" fillId="0" borderId="0" xfId="0" applyNumberFormat="1" applyAlignment="1">
      <alignment/>
    </xf>
    <xf numFmtId="173" fontId="0" fillId="2" borderId="6" xfId="0" applyNumberFormat="1" applyFill="1" applyBorder="1" applyAlignment="1">
      <alignment/>
    </xf>
    <xf numFmtId="0" fontId="0" fillId="0" borderId="4" xfId="0" applyFont="1" applyFill="1" applyBorder="1" applyAlignment="1">
      <alignment/>
    </xf>
    <xf numFmtId="0" fontId="0" fillId="0" borderId="0" xfId="0" applyFont="1" applyFill="1" applyBorder="1" applyAlignment="1">
      <alignment/>
    </xf>
    <xf numFmtId="0" fontId="0" fillId="0" borderId="16" xfId="0" applyFill="1" applyBorder="1" applyAlignment="1">
      <alignment/>
    </xf>
    <xf numFmtId="173" fontId="0" fillId="0" borderId="0" xfId="0" applyNumberFormat="1" applyFill="1" applyBorder="1" applyAlignment="1">
      <alignment/>
    </xf>
    <xf numFmtId="173" fontId="0" fillId="0" borderId="16" xfId="0" applyNumberFormat="1" applyFill="1" applyBorder="1" applyAlignment="1">
      <alignment/>
    </xf>
    <xf numFmtId="0" fontId="5" fillId="0" borderId="9" xfId="0" applyFont="1" applyBorder="1" applyAlignment="1">
      <alignment horizontal="center"/>
    </xf>
    <xf numFmtId="0" fontId="0" fillId="0" borderId="6" xfId="0" applyFont="1" applyFill="1" applyBorder="1" applyAlignment="1">
      <alignment/>
    </xf>
    <xf numFmtId="0" fontId="0" fillId="0" borderId="4" xfId="0" applyFont="1" applyBorder="1" applyAlignment="1">
      <alignment/>
    </xf>
    <xf numFmtId="3" fontId="0" fillId="0" borderId="4" xfId="0" applyNumberFormat="1" applyFont="1" applyBorder="1" applyAlignment="1">
      <alignment/>
    </xf>
    <xf numFmtId="173" fontId="0" fillId="0" borderId="0" xfId="0" applyNumberFormat="1" applyFont="1" applyBorder="1" applyAlignment="1">
      <alignment/>
    </xf>
    <xf numFmtId="173" fontId="0" fillId="0" borderId="4" xfId="0" applyNumberFormat="1" applyFont="1" applyBorder="1" applyAlignment="1">
      <alignment/>
    </xf>
    <xf numFmtId="0" fontId="0" fillId="0" borderId="0" xfId="0" applyFont="1" applyBorder="1" applyAlignment="1">
      <alignment/>
    </xf>
    <xf numFmtId="172" fontId="0" fillId="0" borderId="0" xfId="0" applyNumberFormat="1" applyFont="1" applyBorder="1" applyAlignment="1">
      <alignment/>
    </xf>
    <xf numFmtId="0" fontId="0" fillId="0" borderId="4" xfId="0" applyFont="1" applyBorder="1" applyAlignment="1">
      <alignment horizontal="center"/>
    </xf>
    <xf numFmtId="0" fontId="0" fillId="0" borderId="6" xfId="0" applyFont="1" applyBorder="1" applyAlignment="1">
      <alignment/>
    </xf>
    <xf numFmtId="173" fontId="0" fillId="0" borderId="14" xfId="0" applyNumberFormat="1" applyFont="1" applyBorder="1" applyAlignment="1">
      <alignment/>
    </xf>
    <xf numFmtId="173" fontId="0" fillId="0" borderId="6" xfId="0" applyNumberFormat="1" applyFont="1" applyBorder="1" applyAlignment="1">
      <alignment/>
    </xf>
    <xf numFmtId="0" fontId="0" fillId="0" borderId="14" xfId="0" applyFont="1" applyBorder="1" applyAlignment="1">
      <alignment/>
    </xf>
    <xf numFmtId="172" fontId="0" fillId="0" borderId="6" xfId="0" applyNumberFormat="1" applyFont="1" applyBorder="1" applyAlignment="1">
      <alignment/>
    </xf>
    <xf numFmtId="172" fontId="0" fillId="0" borderId="14" xfId="0" applyNumberFormat="1" applyFont="1" applyBorder="1" applyAlignment="1">
      <alignment/>
    </xf>
    <xf numFmtId="0" fontId="0" fillId="0" borderId="6" xfId="0" applyFont="1" applyBorder="1" applyAlignment="1">
      <alignment horizontal="center"/>
    </xf>
    <xf numFmtId="0" fontId="0" fillId="0" borderId="0" xfId="0" applyFont="1" applyFill="1" applyBorder="1" applyAlignment="1">
      <alignment horizontal="right"/>
    </xf>
    <xf numFmtId="1" fontId="0" fillId="0" borderId="0" xfId="0" applyNumberFormat="1" applyFont="1" applyFill="1" applyBorder="1" applyAlignment="1">
      <alignment/>
    </xf>
    <xf numFmtId="0" fontId="5" fillId="0" borderId="0" xfId="0" applyFont="1" applyAlignment="1">
      <alignment horizontal="center"/>
    </xf>
    <xf numFmtId="172" fontId="0" fillId="0" borderId="0" xfId="0" applyNumberFormat="1" applyFont="1" applyFill="1" applyBorder="1" applyAlignment="1">
      <alignment/>
    </xf>
    <xf numFmtId="0" fontId="5" fillId="0" borderId="1" xfId="0" applyFont="1" applyBorder="1" applyAlignment="1">
      <alignment horizontal="left"/>
    </xf>
    <xf numFmtId="0" fontId="5" fillId="0" borderId="9" xfId="0" applyFont="1" applyBorder="1" applyAlignment="1">
      <alignment horizontal="left"/>
    </xf>
    <xf numFmtId="0" fontId="5" fillId="0" borderId="5" xfId="0" applyFont="1" applyBorder="1" applyAlignment="1">
      <alignment horizontal="left"/>
    </xf>
    <xf numFmtId="1" fontId="0" fillId="0" borderId="0" xfId="0" applyNumberFormat="1" applyBorder="1" applyAlignment="1">
      <alignment/>
    </xf>
    <xf numFmtId="0" fontId="5" fillId="0" borderId="8" xfId="0" applyFont="1" applyBorder="1" applyAlignment="1">
      <alignment horizontal="left"/>
    </xf>
    <xf numFmtId="0" fontId="5" fillId="0" borderId="14" xfId="0" applyFont="1" applyBorder="1" applyAlignment="1">
      <alignment/>
    </xf>
    <xf numFmtId="0" fontId="5" fillId="0" borderId="12" xfId="0" applyFont="1" applyFill="1" applyBorder="1" applyAlignment="1">
      <alignment horizontal="left"/>
    </xf>
    <xf numFmtId="0" fontId="5" fillId="0" borderId="10" xfId="0" applyFont="1" applyFill="1" applyBorder="1" applyAlignment="1">
      <alignment horizontal="left"/>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2" xfId="0" applyFont="1" applyFill="1" applyBorder="1" applyAlignment="1">
      <alignment horizontal="center"/>
    </xf>
    <xf numFmtId="0" fontId="5" fillId="0" borderId="3" xfId="0" applyFont="1" applyFill="1" applyBorder="1" applyAlignment="1">
      <alignment horizontal="right"/>
    </xf>
    <xf numFmtId="0" fontId="5" fillId="0" borderId="7" xfId="0" applyFont="1" applyFill="1" applyBorder="1" applyAlignment="1">
      <alignment horizontal="right"/>
    </xf>
    <xf numFmtId="1" fontId="0" fillId="0" borderId="4" xfId="0" applyNumberFormat="1" applyFont="1" applyFill="1" applyBorder="1" applyAlignment="1">
      <alignment/>
    </xf>
    <xf numFmtId="0" fontId="0" fillId="0" borderId="14" xfId="0" applyFont="1" applyFill="1" applyBorder="1" applyAlignment="1">
      <alignment/>
    </xf>
    <xf numFmtId="0" fontId="5" fillId="0" borderId="23" xfId="0" applyFont="1" applyBorder="1" applyAlignment="1">
      <alignment horizontal="left"/>
    </xf>
    <xf numFmtId="0" fontId="5" fillId="0" borderId="24" xfId="0" applyFont="1" applyBorder="1" applyAlignment="1">
      <alignment/>
    </xf>
    <xf numFmtId="0" fontId="5" fillId="0" borderId="25" xfId="0" applyFont="1" applyBorder="1" applyAlignment="1">
      <alignment horizontal="left"/>
    </xf>
    <xf numFmtId="0" fontId="5" fillId="0" borderId="26" xfId="0" applyFont="1" applyBorder="1" applyAlignment="1">
      <alignment/>
    </xf>
    <xf numFmtId="0" fontId="0" fillId="8" borderId="6" xfId="0" applyFill="1" applyBorder="1" applyAlignment="1">
      <alignment/>
    </xf>
    <xf numFmtId="0" fontId="5" fillId="2" borderId="23" xfId="0" applyFont="1" applyFill="1" applyBorder="1" applyAlignment="1">
      <alignment horizontal="left"/>
    </xf>
    <xf numFmtId="0" fontId="0" fillId="2" borderId="24" xfId="0" applyFill="1" applyBorder="1" applyAlignment="1">
      <alignment/>
    </xf>
    <xf numFmtId="4" fontId="0" fillId="0" borderId="0" xfId="0" applyNumberFormat="1" applyFont="1" applyFill="1" applyBorder="1" applyAlignment="1">
      <alignment/>
    </xf>
    <xf numFmtId="4" fontId="0" fillId="2" borderId="15" xfId="0" applyNumberFormat="1" applyFill="1" applyBorder="1" applyAlignment="1">
      <alignment/>
    </xf>
    <xf numFmtId="4" fontId="0" fillId="5" borderId="27" xfId="0" applyNumberFormat="1" applyFill="1" applyBorder="1" applyAlignment="1">
      <alignment/>
    </xf>
    <xf numFmtId="4" fontId="0" fillId="5" borderId="24" xfId="0" applyNumberFormat="1" applyFill="1" applyBorder="1" applyAlignment="1">
      <alignment/>
    </xf>
    <xf numFmtId="4" fontId="0" fillId="5" borderId="28" xfId="0" applyNumberFormat="1" applyFill="1" applyBorder="1" applyAlignment="1">
      <alignment/>
    </xf>
    <xf numFmtId="4" fontId="0" fillId="5" borderId="26" xfId="0" applyNumberFormat="1" applyFill="1" applyBorder="1" applyAlignment="1">
      <alignment/>
    </xf>
    <xf numFmtId="4" fontId="0" fillId="4" borderId="6" xfId="0" applyNumberFormat="1" applyFill="1" applyBorder="1" applyAlignment="1">
      <alignment/>
    </xf>
    <xf numFmtId="4" fontId="0" fillId="4" borderId="14" xfId="0" applyNumberFormat="1" applyFill="1" applyBorder="1" applyAlignment="1">
      <alignment/>
    </xf>
    <xf numFmtId="4" fontId="0" fillId="2" borderId="27" xfId="0" applyNumberFormat="1" applyFill="1" applyBorder="1" applyAlignment="1">
      <alignment/>
    </xf>
    <xf numFmtId="4" fontId="0" fillId="0" borderId="0" xfId="0" applyNumberFormat="1" applyAlignment="1">
      <alignment/>
    </xf>
    <xf numFmtId="4" fontId="0" fillId="5" borderId="29" xfId="0" applyNumberFormat="1" applyFill="1" applyBorder="1" applyAlignment="1">
      <alignment/>
    </xf>
    <xf numFmtId="4" fontId="0" fillId="5" borderId="30" xfId="0" applyNumberFormat="1" applyFill="1" applyBorder="1" applyAlignment="1">
      <alignment/>
    </xf>
    <xf numFmtId="4" fontId="0" fillId="0" borderId="4" xfId="0" applyNumberFormat="1" applyFont="1" applyFill="1" applyBorder="1" applyAlignment="1">
      <alignment/>
    </xf>
    <xf numFmtId="4" fontId="0" fillId="2" borderId="24" xfId="0" applyNumberFormat="1" applyFill="1" applyBorder="1" applyAlignment="1">
      <alignment/>
    </xf>
    <xf numFmtId="4" fontId="0" fillId="8" borderId="19" xfId="0" applyNumberFormat="1" applyFill="1" applyBorder="1" applyAlignment="1">
      <alignment/>
    </xf>
    <xf numFmtId="0" fontId="5" fillId="0" borderId="22" xfId="0" applyFont="1" applyFill="1" applyBorder="1" applyAlignment="1">
      <alignment horizontal="right"/>
    </xf>
    <xf numFmtId="3" fontId="0" fillId="0" borderId="0" xfId="0" applyNumberFormat="1" applyFont="1" applyBorder="1" applyAlignment="1">
      <alignment/>
    </xf>
    <xf numFmtId="3" fontId="0" fillId="0" borderId="14" xfId="0" applyNumberFormat="1" applyFont="1" applyBorder="1" applyAlignment="1">
      <alignment/>
    </xf>
    <xf numFmtId="3" fontId="0" fillId="0" borderId="6" xfId="0" applyNumberFormat="1" applyFont="1" applyBorder="1" applyAlignment="1">
      <alignment/>
    </xf>
    <xf numFmtId="0" fontId="5" fillId="0" borderId="12" xfId="0" applyFont="1" applyBorder="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31" xfId="0" applyFont="1" applyBorder="1" applyAlignment="1">
      <alignment/>
    </xf>
    <xf numFmtId="0" fontId="0" fillId="0" borderId="13" xfId="0" applyFont="1" applyBorder="1" applyAlignment="1">
      <alignment/>
    </xf>
    <xf numFmtId="3" fontId="0" fillId="0" borderId="13" xfId="0" applyNumberFormat="1" applyFont="1" applyBorder="1" applyAlignment="1">
      <alignment/>
    </xf>
    <xf numFmtId="180" fontId="0" fillId="0" borderId="4" xfId="0" applyNumberFormat="1" applyFont="1" applyBorder="1" applyAlignment="1">
      <alignment/>
    </xf>
    <xf numFmtId="4" fontId="0" fillId="0" borderId="4" xfId="0" applyNumberFormat="1" applyFont="1" applyBorder="1" applyAlignment="1">
      <alignment/>
    </xf>
    <xf numFmtId="4" fontId="0" fillId="0" borderId="6" xfId="0" applyNumberFormat="1" applyFont="1" applyBorder="1" applyAlignment="1">
      <alignment/>
    </xf>
    <xf numFmtId="4" fontId="0" fillId="0" borderId="13" xfId="0" applyNumberFormat="1" applyFont="1" applyBorder="1" applyAlignment="1">
      <alignment/>
    </xf>
    <xf numFmtId="0" fontId="8" fillId="0" borderId="0" xfId="0" applyFont="1" applyAlignment="1">
      <alignment/>
    </xf>
    <xf numFmtId="177" fontId="0" fillId="0" borderId="4" xfId="21" applyNumberFormat="1" applyFont="1" applyBorder="1" applyAlignment="1">
      <alignment/>
    </xf>
    <xf numFmtId="178" fontId="0" fillId="0" borderId="6" xfId="0" applyNumberFormat="1" applyFont="1" applyBorder="1" applyAlignment="1">
      <alignment/>
    </xf>
    <xf numFmtId="0" fontId="5" fillId="0" borderId="21" xfId="0" applyFont="1" applyFill="1" applyBorder="1" applyAlignment="1">
      <alignment horizontal="right"/>
    </xf>
    <xf numFmtId="3" fontId="0" fillId="0" borderId="5" xfId="0" applyNumberFormat="1" applyFont="1" applyBorder="1" applyAlignment="1">
      <alignment/>
    </xf>
    <xf numFmtId="177" fontId="0" fillId="0" borderId="5" xfId="21" applyNumberFormat="1" applyFont="1" applyBorder="1" applyAlignment="1">
      <alignment/>
    </xf>
    <xf numFmtId="178" fontId="0" fillId="0" borderId="8" xfId="0" applyNumberFormat="1" applyFont="1" applyBorder="1" applyAlignment="1">
      <alignment/>
    </xf>
    <xf numFmtId="3" fontId="0" fillId="0" borderId="8" xfId="0" applyNumberFormat="1" applyFont="1" applyBorder="1" applyAlignment="1">
      <alignment/>
    </xf>
    <xf numFmtId="0" fontId="5" fillId="0" borderId="5" xfId="0" applyFont="1" applyFill="1" applyBorder="1" applyAlignment="1">
      <alignment horizontal="left"/>
    </xf>
    <xf numFmtId="0" fontId="5" fillId="0" borderId="8" xfId="0" applyFont="1" applyFill="1" applyBorder="1" applyAlignment="1">
      <alignment horizontal="left"/>
    </xf>
    <xf numFmtId="0" fontId="5" fillId="0" borderId="2" xfId="0" applyFont="1" applyBorder="1" applyAlignment="1">
      <alignment horizontal="center"/>
    </xf>
    <xf numFmtId="0" fontId="5" fillId="0" borderId="31" xfId="0" applyFont="1" applyFill="1" applyBorder="1" applyAlignment="1">
      <alignment horizontal="left"/>
    </xf>
    <xf numFmtId="2" fontId="0" fillId="0" borderId="4" xfId="0" applyNumberFormat="1" applyFont="1" applyBorder="1" applyAlignment="1">
      <alignment/>
    </xf>
    <xf numFmtId="2" fontId="0" fillId="0" borderId="13" xfId="0" applyNumberFormat="1" applyFont="1" applyBorder="1" applyAlignment="1">
      <alignment/>
    </xf>
    <xf numFmtId="2" fontId="0" fillId="0" borderId="6" xfId="0" applyNumberFormat="1" applyFont="1" applyBorder="1" applyAlignment="1">
      <alignment/>
    </xf>
    <xf numFmtId="2" fontId="0" fillId="0" borderId="13" xfId="0" applyNumberFormat="1" applyBorder="1" applyAlignment="1">
      <alignment/>
    </xf>
    <xf numFmtId="2" fontId="0" fillId="0" borderId="0" xfId="0" applyNumberFormat="1" applyFont="1" applyBorder="1" applyAlignment="1">
      <alignment/>
    </xf>
    <xf numFmtId="178" fontId="0" fillId="5" borderId="6" xfId="0" applyNumberFormat="1" applyFont="1" applyFill="1" applyBorder="1" applyAlignment="1">
      <alignment/>
    </xf>
    <xf numFmtId="178" fontId="7" fillId="5" borderId="4" xfId="0" applyNumberFormat="1" applyFont="1" applyFill="1" applyBorder="1" applyAlignment="1">
      <alignment/>
    </xf>
    <xf numFmtId="178" fontId="7" fillId="5" borderId="6" xfId="0" applyNumberFormat="1" applyFont="1" applyFill="1" applyBorder="1" applyAlignment="1">
      <alignment/>
    </xf>
    <xf numFmtId="178" fontId="0" fillId="5" borderId="8" xfId="0" applyNumberFormat="1" applyFont="1" applyFill="1" applyBorder="1" applyAlignment="1">
      <alignment/>
    </xf>
    <xf numFmtId="0" fontId="5" fillId="0" borderId="31" xfId="0" applyFont="1" applyBorder="1" applyAlignment="1">
      <alignment horizontal="right"/>
    </xf>
    <xf numFmtId="178" fontId="0" fillId="5" borderId="31" xfId="0" applyNumberFormat="1" applyFont="1" applyFill="1" applyBorder="1" applyAlignment="1">
      <alignment/>
    </xf>
    <xf numFmtId="178" fontId="0" fillId="5" borderId="13" xfId="0" applyNumberFormat="1" applyFont="1" applyFill="1" applyBorder="1" applyAlignment="1">
      <alignment/>
    </xf>
    <xf numFmtId="178" fontId="0" fillId="4" borderId="4" xfId="0" applyNumberFormat="1" applyFont="1" applyFill="1" applyBorder="1" applyAlignment="1">
      <alignment/>
    </xf>
    <xf numFmtId="178" fontId="0" fillId="4" borderId="13" xfId="0" applyNumberFormat="1" applyFont="1" applyFill="1" applyBorder="1" applyAlignment="1">
      <alignment/>
    </xf>
    <xf numFmtId="0" fontId="8" fillId="0" borderId="0" xfId="0" applyFont="1" applyFill="1" applyBorder="1" applyAlignment="1">
      <alignment horizontal="left"/>
    </xf>
    <xf numFmtId="180" fontId="0" fillId="0" borderId="0" xfId="0" applyNumberFormat="1" applyFont="1" applyBorder="1" applyAlignment="1">
      <alignment/>
    </xf>
    <xf numFmtId="178" fontId="0" fillId="4" borderId="0" xfId="0" applyNumberFormat="1" applyFont="1" applyFill="1" applyBorder="1" applyAlignment="1">
      <alignment/>
    </xf>
    <xf numFmtId="178" fontId="0" fillId="4" borderId="16" xfId="0" applyNumberFormat="1" applyFont="1" applyFill="1" applyBorder="1" applyAlignment="1">
      <alignment/>
    </xf>
    <xf numFmtId="0" fontId="5" fillId="0" borderId="11" xfId="0" applyFont="1" applyBorder="1" applyAlignment="1">
      <alignment horizontal="center"/>
    </xf>
    <xf numFmtId="0" fontId="5" fillId="0" borderId="21" xfId="0" applyFont="1" applyBorder="1" applyAlignment="1">
      <alignment horizontal="center"/>
    </xf>
    <xf numFmtId="180" fontId="0" fillId="0" borderId="5" xfId="0" applyNumberFormat="1" applyFont="1" applyBorder="1" applyAlignment="1">
      <alignment/>
    </xf>
    <xf numFmtId="178" fontId="0" fillId="4" borderId="5" xfId="0" applyNumberFormat="1" applyFont="1" applyFill="1" applyBorder="1" applyAlignment="1">
      <alignment/>
    </xf>
    <xf numFmtId="0" fontId="0" fillId="0" borderId="5" xfId="0" applyFont="1" applyBorder="1" applyAlignment="1">
      <alignment/>
    </xf>
    <xf numFmtId="178" fontId="0" fillId="4" borderId="31" xfId="0" applyNumberFormat="1" applyFont="1" applyFill="1" applyBorder="1" applyAlignment="1">
      <alignment/>
    </xf>
    <xf numFmtId="173" fontId="7" fillId="4" borderId="4" xfId="0" applyNumberFormat="1" applyFont="1" applyFill="1" applyBorder="1" applyAlignment="1">
      <alignment/>
    </xf>
    <xf numFmtId="173" fontId="7" fillId="4" borderId="6" xfId="0" applyNumberFormat="1" applyFont="1" applyFill="1" applyBorder="1" applyAlignment="1">
      <alignment/>
    </xf>
    <xf numFmtId="173" fontId="0" fillId="0" borderId="5" xfId="0" applyNumberFormat="1" applyBorder="1" applyAlignment="1">
      <alignment/>
    </xf>
    <xf numFmtId="0" fontId="0" fillId="0" borderId="18" xfId="0" applyBorder="1" applyAlignment="1">
      <alignment/>
    </xf>
    <xf numFmtId="173" fontId="0" fillId="2" borderId="14" xfId="0" applyNumberFormat="1" applyFill="1" applyBorder="1" applyAlignment="1">
      <alignment/>
    </xf>
    <xf numFmtId="173" fontId="0" fillId="2" borderId="8" xfId="0" applyNumberFormat="1" applyFill="1" applyBorder="1" applyAlignment="1">
      <alignment/>
    </xf>
    <xf numFmtId="173" fontId="0" fillId="2" borderId="6" xfId="0" applyNumberFormat="1" applyFont="1" applyFill="1" applyBorder="1" applyAlignment="1">
      <alignment/>
    </xf>
    <xf numFmtId="173" fontId="0" fillId="2" borderId="13" xfId="0" applyNumberFormat="1" applyFill="1" applyBorder="1" applyAlignment="1">
      <alignment/>
    </xf>
    <xf numFmtId="173" fontId="0" fillId="2" borderId="16" xfId="0" applyNumberFormat="1" applyFill="1" applyBorder="1" applyAlignment="1">
      <alignment/>
    </xf>
    <xf numFmtId="173" fontId="0" fillId="2" borderId="31" xfId="0" applyNumberFormat="1" applyFill="1" applyBorder="1" applyAlignment="1">
      <alignment/>
    </xf>
    <xf numFmtId="173" fontId="0" fillId="2" borderId="13" xfId="0" applyNumberFormat="1" applyFont="1" applyFill="1" applyBorder="1" applyAlignment="1">
      <alignment/>
    </xf>
    <xf numFmtId="173" fontId="7" fillId="2" borderId="4" xfId="0" applyNumberFormat="1" applyFont="1" applyFill="1" applyBorder="1" applyAlignment="1">
      <alignment/>
    </xf>
    <xf numFmtId="178" fontId="7" fillId="2" borderId="6" xfId="0" applyNumberFormat="1" applyFont="1" applyFill="1" applyBorder="1" applyAlignment="1">
      <alignment/>
    </xf>
    <xf numFmtId="0" fontId="5" fillId="0" borderId="0" xfId="0" applyFont="1" applyFill="1" applyBorder="1" applyAlignment="1">
      <alignment/>
    </xf>
    <xf numFmtId="0" fontId="11" fillId="0" borderId="32" xfId="0" applyFont="1" applyFill="1" applyBorder="1" applyAlignment="1">
      <alignment horizontal="center"/>
    </xf>
    <xf numFmtId="0" fontId="5" fillId="0" borderId="0" xfId="0" applyFont="1" applyFill="1" applyBorder="1" applyAlignment="1">
      <alignment/>
    </xf>
    <xf numFmtId="0" fontId="5" fillId="0" borderId="16" xfId="0" applyFont="1" applyFill="1" applyBorder="1" applyAlignment="1">
      <alignment/>
    </xf>
    <xf numFmtId="0" fontId="0" fillId="2" borderId="0" xfId="0" applyFont="1" applyFill="1" applyBorder="1" applyAlignment="1">
      <alignment/>
    </xf>
    <xf numFmtId="0" fontId="0" fillId="3" borderId="0" xfId="0" applyFont="1" applyFill="1" applyBorder="1" applyAlignment="1">
      <alignment/>
    </xf>
    <xf numFmtId="172" fontId="0" fillId="3" borderId="0" xfId="0" applyNumberFormat="1" applyFont="1" applyFill="1" applyBorder="1" applyAlignment="1">
      <alignment/>
    </xf>
    <xf numFmtId="1" fontId="0" fillId="3" borderId="0" xfId="0" applyNumberFormat="1" applyFont="1" applyFill="1" applyBorder="1" applyAlignment="1">
      <alignment/>
    </xf>
    <xf numFmtId="0" fontId="0" fillId="4" borderId="0" xfId="0" applyFont="1" applyFill="1" applyBorder="1" applyAlignment="1">
      <alignment/>
    </xf>
    <xf numFmtId="1" fontId="0" fillId="3" borderId="4" xfId="0" applyNumberFormat="1" applyFont="1" applyFill="1" applyBorder="1" applyAlignment="1">
      <alignment/>
    </xf>
    <xf numFmtId="1" fontId="0" fillId="3" borderId="6" xfId="0" applyNumberFormat="1" applyFont="1" applyFill="1" applyBorder="1" applyAlignment="1">
      <alignment/>
    </xf>
    <xf numFmtId="0" fontId="0" fillId="4" borderId="6" xfId="0" applyFont="1" applyFill="1" applyBorder="1" applyAlignment="1">
      <alignment/>
    </xf>
    <xf numFmtId="0" fontId="0" fillId="0" borderId="7" xfId="0" applyFont="1" applyFill="1" applyBorder="1" applyAlignment="1">
      <alignment horizontal="center"/>
    </xf>
    <xf numFmtId="0" fontId="0" fillId="0" borderId="10" xfId="0" applyFont="1" applyFill="1" applyBorder="1" applyAlignment="1">
      <alignment horizontal="right"/>
    </xf>
    <xf numFmtId="0" fontId="0" fillId="0" borderId="7" xfId="0" applyFont="1" applyFill="1" applyBorder="1" applyAlignment="1">
      <alignment horizontal="right"/>
    </xf>
    <xf numFmtId="0" fontId="0" fillId="3" borderId="15" xfId="0" applyFont="1" applyFill="1" applyBorder="1" applyAlignment="1">
      <alignment/>
    </xf>
    <xf numFmtId="0" fontId="0" fillId="3" borderId="14" xfId="0" applyFont="1" applyFill="1" applyBorder="1" applyAlignment="1">
      <alignment/>
    </xf>
    <xf numFmtId="172" fontId="0" fillId="3" borderId="14" xfId="0" applyNumberFormat="1" applyFont="1" applyFill="1" applyBorder="1" applyAlignment="1">
      <alignment/>
    </xf>
    <xf numFmtId="1" fontId="0" fillId="3" borderId="14" xfId="0" applyNumberFormat="1" applyFont="1" applyFill="1" applyBorder="1" applyAlignment="1">
      <alignment/>
    </xf>
    <xf numFmtId="0" fontId="0" fillId="3" borderId="19" xfId="0" applyFont="1" applyFill="1" applyBorder="1" applyAlignment="1">
      <alignment/>
    </xf>
    <xf numFmtId="0" fontId="5" fillId="0" borderId="5" xfId="0" applyFont="1" applyFill="1" applyBorder="1" applyAlignment="1">
      <alignment/>
    </xf>
    <xf numFmtId="0" fontId="5" fillId="0" borderId="8" xfId="0" applyFont="1" applyFill="1" applyBorder="1" applyAlignment="1">
      <alignment/>
    </xf>
    <xf numFmtId="0" fontId="5" fillId="0" borderId="4" xfId="0" applyFont="1" applyBorder="1" applyAlignment="1">
      <alignment/>
    </xf>
    <xf numFmtId="0" fontId="5" fillId="0" borderId="6" xfId="0" applyFont="1" applyBorder="1" applyAlignment="1">
      <alignment/>
    </xf>
    <xf numFmtId="172" fontId="5" fillId="0" borderId="5" xfId="0" applyNumberFormat="1" applyFont="1" applyBorder="1" applyAlignment="1">
      <alignment/>
    </xf>
    <xf numFmtId="172" fontId="5" fillId="0" borderId="31" xfId="0" applyNumberFormat="1" applyFont="1" applyBorder="1" applyAlignment="1">
      <alignment/>
    </xf>
    <xf numFmtId="172" fontId="5" fillId="0" borderId="1" xfId="0" applyNumberFormat="1" applyFont="1" applyBorder="1" applyAlignment="1">
      <alignment/>
    </xf>
    <xf numFmtId="3" fontId="5" fillId="0" borderId="5" xfId="0" applyNumberFormat="1" applyFont="1" applyBorder="1" applyAlignment="1">
      <alignment/>
    </xf>
    <xf numFmtId="3" fontId="5" fillId="0" borderId="31" xfId="0" applyNumberFormat="1" applyFont="1" applyBorder="1" applyAlignment="1">
      <alignment/>
    </xf>
    <xf numFmtId="0" fontId="5" fillId="5" borderId="4" xfId="0" applyFont="1" applyFill="1" applyBorder="1" applyAlignment="1">
      <alignment/>
    </xf>
    <xf numFmtId="0" fontId="8" fillId="0" borderId="21" xfId="0" applyFont="1" applyBorder="1" applyAlignment="1">
      <alignment/>
    </xf>
    <xf numFmtId="0" fontId="5" fillId="0" borderId="31" xfId="0" applyFont="1" applyBorder="1" applyAlignment="1">
      <alignment horizontal="center"/>
    </xf>
    <xf numFmtId="0" fontId="5" fillId="0" borderId="2" xfId="0" applyFont="1" applyFill="1" applyBorder="1" applyAlignment="1">
      <alignment/>
    </xf>
    <xf numFmtId="0" fontId="5" fillId="0" borderId="10" xfId="0" applyFont="1" applyBorder="1" applyAlignment="1">
      <alignment horizontal="right"/>
    </xf>
    <xf numFmtId="0" fontId="5" fillId="0" borderId="3" xfId="0" applyFont="1" applyBorder="1" applyAlignment="1">
      <alignment horizontal="right"/>
    </xf>
    <xf numFmtId="0" fontId="5" fillId="0" borderId="7" xfId="0" applyFont="1" applyFill="1" applyBorder="1" applyAlignment="1">
      <alignment horizontal="center"/>
    </xf>
    <xf numFmtId="178" fontId="0" fillId="5" borderId="4" xfId="0" applyNumberFormat="1" applyFill="1" applyBorder="1" applyAlignment="1">
      <alignment/>
    </xf>
    <xf numFmtId="0" fontId="6" fillId="0" borderId="22" xfId="0" applyFont="1" applyBorder="1" applyAlignment="1">
      <alignment/>
    </xf>
    <xf numFmtId="0" fontId="6" fillId="0" borderId="7" xfId="0" applyFont="1" applyBorder="1" applyAlignment="1">
      <alignment/>
    </xf>
    <xf numFmtId="172" fontId="0" fillId="0" borderId="2" xfId="0" applyNumberFormat="1" applyBorder="1" applyAlignment="1">
      <alignment/>
    </xf>
    <xf numFmtId="0" fontId="0" fillId="5" borderId="0" xfId="0" applyFont="1" applyFill="1" applyBorder="1" applyAlignment="1">
      <alignment/>
    </xf>
    <xf numFmtId="0" fontId="0" fillId="2" borderId="14" xfId="0" applyFont="1" applyFill="1" applyBorder="1" applyAlignment="1">
      <alignment/>
    </xf>
    <xf numFmtId="172" fontId="0" fillId="5" borderId="4" xfId="0" applyNumberFormat="1" applyFont="1" applyFill="1" applyBorder="1" applyAlignment="1">
      <alignment/>
    </xf>
    <xf numFmtId="172" fontId="0" fillId="2" borderId="4" xfId="0" applyNumberFormat="1" applyFont="1" applyFill="1" applyBorder="1" applyAlignment="1">
      <alignment/>
    </xf>
    <xf numFmtId="172" fontId="0" fillId="2" borderId="6" xfId="0" applyNumberFormat="1" applyFont="1" applyFill="1" applyBorder="1" applyAlignment="1">
      <alignment/>
    </xf>
    <xf numFmtId="0" fontId="5" fillId="2" borderId="4" xfId="0" applyFont="1" applyFill="1" applyBorder="1" applyAlignment="1">
      <alignment/>
    </xf>
    <xf numFmtId="0" fontId="0" fillId="0" borderId="18" xfId="0" applyFill="1" applyBorder="1" applyAlignment="1">
      <alignment/>
    </xf>
    <xf numFmtId="0" fontId="5" fillId="4" borderId="4" xfId="0" applyFont="1" applyFill="1" applyBorder="1" applyAlignment="1">
      <alignment/>
    </xf>
    <xf numFmtId="172" fontId="0" fillId="4" borderId="4" xfId="0" applyNumberFormat="1" applyFont="1" applyFill="1" applyBorder="1" applyAlignment="1">
      <alignment/>
    </xf>
    <xf numFmtId="0" fontId="0" fillId="0" borderId="10" xfId="0" applyFont="1" applyFill="1" applyBorder="1" applyAlignment="1">
      <alignment horizontal="center"/>
    </xf>
    <xf numFmtId="1" fontId="0" fillId="5" borderId="0" xfId="0" applyNumberFormat="1" applyFont="1" applyFill="1" applyBorder="1" applyAlignment="1">
      <alignment/>
    </xf>
    <xf numFmtId="1" fontId="0" fillId="2" borderId="0" xfId="0" applyNumberFormat="1" applyFont="1" applyFill="1" applyBorder="1" applyAlignment="1">
      <alignment/>
    </xf>
    <xf numFmtId="1" fontId="0" fillId="4" borderId="0" xfId="0" applyNumberFormat="1" applyFont="1" applyFill="1" applyBorder="1" applyAlignment="1">
      <alignment/>
    </xf>
    <xf numFmtId="1" fontId="0" fillId="5" borderId="4" xfId="0" applyNumberFormat="1" applyFont="1" applyFill="1" applyBorder="1" applyAlignment="1">
      <alignment/>
    </xf>
    <xf numFmtId="1" fontId="0" fillId="2" borderId="4" xfId="0" applyNumberFormat="1" applyFont="1" applyFill="1" applyBorder="1" applyAlignment="1">
      <alignment/>
    </xf>
    <xf numFmtId="1" fontId="0" fillId="4" borderId="4" xfId="0" applyNumberFormat="1" applyFont="1" applyFill="1" applyBorder="1" applyAlignment="1">
      <alignment/>
    </xf>
    <xf numFmtId="0" fontId="0" fillId="4" borderId="14" xfId="0" applyFont="1" applyFill="1" applyBorder="1" applyAlignment="1">
      <alignment/>
    </xf>
    <xf numFmtId="0" fontId="0" fillId="3" borderId="8" xfId="0" applyFont="1" applyFill="1" applyBorder="1" applyAlignment="1">
      <alignment/>
    </xf>
    <xf numFmtId="0" fontId="0" fillId="0" borderId="15" xfId="0" applyFont="1" applyFill="1" applyBorder="1" applyAlignment="1">
      <alignment/>
    </xf>
    <xf numFmtId="0" fontId="5" fillId="0" borderId="15" xfId="0" applyFont="1" applyFill="1" applyBorder="1" applyAlignment="1">
      <alignment/>
    </xf>
    <xf numFmtId="0" fontId="0" fillId="0" borderId="14" xfId="0" applyFill="1" applyBorder="1" applyAlignment="1">
      <alignment/>
    </xf>
    <xf numFmtId="172" fontId="0" fillId="0" borderId="4" xfId="0" applyNumberFormat="1" applyFont="1" applyFill="1" applyBorder="1" applyAlignment="1">
      <alignment/>
    </xf>
    <xf numFmtId="172" fontId="0" fillId="0" borderId="6" xfId="0" applyNumberFormat="1" applyFont="1" applyFill="1" applyBorder="1" applyAlignment="1">
      <alignment/>
    </xf>
    <xf numFmtId="172" fontId="0" fillId="0" borderId="5" xfId="0" applyNumberFormat="1" applyFont="1" applyFill="1" applyBorder="1" applyAlignment="1">
      <alignment/>
    </xf>
    <xf numFmtId="172" fontId="0" fillId="0" borderId="14" xfId="0" applyNumberFormat="1" applyFont="1" applyFill="1" applyBorder="1" applyAlignment="1">
      <alignment/>
    </xf>
    <xf numFmtId="1" fontId="0" fillId="0" borderId="2" xfId="0" applyNumberFormat="1" applyFont="1" applyFill="1" applyBorder="1" applyAlignment="1">
      <alignment/>
    </xf>
    <xf numFmtId="1" fontId="0" fillId="0" borderId="6" xfId="0" applyNumberFormat="1" applyFont="1" applyFill="1" applyBorder="1" applyAlignment="1">
      <alignment/>
    </xf>
    <xf numFmtId="0" fontId="0" fillId="0" borderId="29" xfId="0" applyFont="1" applyFill="1" applyBorder="1" applyAlignment="1">
      <alignment horizontal="right"/>
    </xf>
    <xf numFmtId="0" fontId="5" fillId="0" borderId="1" xfId="0" applyFont="1" applyFill="1" applyBorder="1" applyAlignment="1">
      <alignment/>
    </xf>
    <xf numFmtId="0" fontId="0" fillId="0" borderId="9" xfId="0" applyFill="1" applyBorder="1" applyAlignment="1">
      <alignment horizontal="center"/>
    </xf>
    <xf numFmtId="0" fontId="5" fillId="0" borderId="12" xfId="0" applyFont="1" applyFill="1" applyBorder="1" applyAlignment="1">
      <alignment/>
    </xf>
    <xf numFmtId="1" fontId="0" fillId="0" borderId="14" xfId="0" applyNumberFormat="1" applyFont="1" applyFill="1" applyBorder="1" applyAlignment="1">
      <alignment/>
    </xf>
    <xf numFmtId="0" fontId="0" fillId="0" borderId="19" xfId="0" applyFont="1" applyFill="1" applyBorder="1" applyAlignment="1">
      <alignment/>
    </xf>
    <xf numFmtId="0" fontId="5" fillId="0" borderId="21" xfId="0" applyFont="1" applyFill="1" applyBorder="1" applyAlignment="1">
      <alignment/>
    </xf>
    <xf numFmtId="0" fontId="0" fillId="0" borderId="22" xfId="0" applyFont="1" applyFill="1" applyBorder="1" applyAlignment="1">
      <alignment horizontal="right"/>
    </xf>
    <xf numFmtId="0" fontId="0" fillId="0" borderId="22" xfId="0" applyFont="1" applyFill="1" applyBorder="1" applyAlignment="1">
      <alignment horizontal="center"/>
    </xf>
    <xf numFmtId="0" fontId="0" fillId="0" borderId="20" xfId="0" applyFont="1" applyFill="1" applyBorder="1" applyAlignment="1">
      <alignment horizontal="right"/>
    </xf>
    <xf numFmtId="0" fontId="5" fillId="0" borderId="7" xfId="0" applyFont="1" applyFill="1" applyBorder="1" applyAlignment="1">
      <alignment/>
    </xf>
    <xf numFmtId="0" fontId="22" fillId="0" borderId="0" xfId="0" applyFont="1" applyAlignment="1">
      <alignment/>
    </xf>
    <xf numFmtId="0" fontId="0" fillId="9" borderId="0" xfId="0" applyFill="1" applyAlignment="1">
      <alignment/>
    </xf>
    <xf numFmtId="0" fontId="10" fillId="0" borderId="0" xfId="0" applyFont="1" applyFill="1" applyBorder="1" applyAlignment="1">
      <alignment horizontal="center"/>
    </xf>
    <xf numFmtId="172" fontId="0" fillId="0" borderId="0" xfId="0" applyNumberFormat="1" applyFill="1" applyBorder="1" applyAlignment="1">
      <alignment/>
    </xf>
    <xf numFmtId="0" fontId="0" fillId="0" borderId="14" xfId="0" applyFill="1"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6" xfId="0" applyFill="1" applyBorder="1" applyAlignment="1">
      <alignment/>
    </xf>
    <xf numFmtId="0" fontId="16" fillId="0" borderId="21" xfId="0" applyFont="1" applyBorder="1" applyAlignment="1">
      <alignment/>
    </xf>
    <xf numFmtId="0" fontId="16" fillId="0" borderId="5" xfId="0" applyFont="1" applyFill="1" applyBorder="1" applyAlignment="1">
      <alignment/>
    </xf>
    <xf numFmtId="0" fontId="16" fillId="0" borderId="8" xfId="0" applyFont="1" applyFill="1" applyBorder="1" applyAlignment="1">
      <alignment/>
    </xf>
    <xf numFmtId="0" fontId="24" fillId="0" borderId="7" xfId="0" applyFont="1" applyFill="1" applyBorder="1" applyAlignment="1">
      <alignment horizontal="center"/>
    </xf>
    <xf numFmtId="0" fontId="24" fillId="0" borderId="22" xfId="0" applyFont="1" applyFill="1" applyBorder="1" applyAlignment="1">
      <alignment horizontal="center"/>
    </xf>
    <xf numFmtId="0" fontId="16" fillId="0" borderId="1" xfId="0" applyFont="1" applyFill="1" applyBorder="1" applyAlignment="1">
      <alignment/>
    </xf>
    <xf numFmtId="173" fontId="34" fillId="0" borderId="6" xfId="0" applyNumberFormat="1" applyFont="1" applyBorder="1" applyAlignment="1">
      <alignment/>
    </xf>
    <xf numFmtId="173" fontId="34" fillId="4" borderId="4" xfId="0" applyNumberFormat="1" applyFont="1" applyFill="1" applyBorder="1" applyAlignment="1">
      <alignment/>
    </xf>
    <xf numFmtId="177" fontId="0" fillId="0" borderId="13" xfId="0" applyNumberFormat="1" applyBorder="1" applyAlignment="1">
      <alignment/>
    </xf>
    <xf numFmtId="179" fontId="0" fillId="0" borderId="5" xfId="0" applyNumberFormat="1" applyFont="1" applyBorder="1" applyAlignment="1">
      <alignment/>
    </xf>
    <xf numFmtId="179" fontId="0" fillId="0" borderId="31" xfId="0" applyNumberFormat="1" applyFont="1" applyBorder="1" applyAlignment="1">
      <alignment/>
    </xf>
    <xf numFmtId="0" fontId="16" fillId="0" borderId="2" xfId="0" applyFont="1" applyBorder="1" applyAlignment="1">
      <alignment horizontal="center"/>
    </xf>
    <xf numFmtId="0" fontId="16" fillId="0" borderId="18" xfId="0" applyFont="1" applyBorder="1" applyAlignment="1">
      <alignment horizontal="center"/>
    </xf>
    <xf numFmtId="0" fontId="16" fillId="0" borderId="12" xfId="0" applyFont="1" applyBorder="1" applyAlignment="1">
      <alignment horizontal="center"/>
    </xf>
    <xf numFmtId="0" fontId="16" fillId="0" borderId="7" xfId="0" applyFont="1" applyBorder="1" applyAlignment="1">
      <alignment horizontal="center"/>
    </xf>
    <xf numFmtId="0" fontId="16" fillId="0" borderId="10" xfId="0" applyFont="1" applyBorder="1" applyAlignment="1">
      <alignment horizontal="center"/>
    </xf>
    <xf numFmtId="0" fontId="16" fillId="0" borderId="3" xfId="0" applyFont="1" applyBorder="1" applyAlignment="1">
      <alignment horizontal="center"/>
    </xf>
    <xf numFmtId="0" fontId="16" fillId="0" borderId="3" xfId="0" applyFont="1" applyFill="1" applyBorder="1" applyAlignment="1">
      <alignment horizontal="center"/>
    </xf>
    <xf numFmtId="0" fontId="16" fillId="0" borderId="11" xfId="0" applyFont="1" applyFill="1" applyBorder="1" applyAlignment="1">
      <alignment horizontal="center"/>
    </xf>
    <xf numFmtId="0" fontId="2" fillId="0" borderId="0" xfId="0" applyFont="1" applyAlignment="1">
      <alignment/>
    </xf>
    <xf numFmtId="173" fontId="0" fillId="4" borderId="15" xfId="0" applyNumberFormat="1" applyFill="1" applyBorder="1" applyAlignment="1">
      <alignment/>
    </xf>
    <xf numFmtId="173" fontId="0" fillId="7" borderId="19" xfId="0" applyNumberFormat="1" applyFill="1" applyBorder="1" applyAlignment="1">
      <alignment/>
    </xf>
    <xf numFmtId="172" fontId="0" fillId="2" borderId="6" xfId="0" applyNumberFormat="1" applyFill="1" applyBorder="1" applyAlignment="1">
      <alignment/>
    </xf>
    <xf numFmtId="0" fontId="0" fillId="8" borderId="4" xfId="0" applyFill="1" applyBorder="1" applyAlignment="1">
      <alignment/>
    </xf>
    <xf numFmtId="172" fontId="0" fillId="6" borderId="6" xfId="0" applyNumberFormat="1" applyFill="1" applyBorder="1" applyAlignment="1">
      <alignment/>
    </xf>
    <xf numFmtId="0" fontId="16" fillId="0" borderId="9" xfId="0" applyFont="1" applyBorder="1" applyAlignment="1">
      <alignment horizontal="center"/>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5" borderId="4" xfId="0" applyFont="1" applyFill="1" applyBorder="1" applyAlignment="1">
      <alignment horizontal="center"/>
    </xf>
    <xf numFmtId="0" fontId="16" fillId="2" borderId="4" xfId="0" applyFont="1" applyFill="1" applyBorder="1" applyAlignment="1">
      <alignment horizontal="center"/>
    </xf>
    <xf numFmtId="0" fontId="16" fillId="2" borderId="6" xfId="0" applyFont="1" applyFill="1" applyBorder="1" applyAlignment="1">
      <alignment horizontal="center"/>
    </xf>
    <xf numFmtId="172" fontId="0" fillId="2" borderId="4" xfId="0" applyNumberFormat="1" applyFont="1" applyFill="1" applyBorder="1" applyAlignment="1">
      <alignment/>
    </xf>
    <xf numFmtId="0" fontId="7" fillId="0" borderId="7" xfId="0" applyFont="1" applyBorder="1" applyAlignment="1">
      <alignment horizontal="center"/>
    </xf>
    <xf numFmtId="0" fontId="7" fillId="0" borderId="20" xfId="0" applyFont="1" applyBorder="1" applyAlignment="1">
      <alignment horizontal="center"/>
    </xf>
    <xf numFmtId="0" fontId="16" fillId="0" borderId="8" xfId="0" applyFont="1" applyBorder="1" applyAlignment="1">
      <alignment/>
    </xf>
    <xf numFmtId="0" fontId="16" fillId="0" borderId="0" xfId="0" applyFont="1" applyAlignment="1">
      <alignment/>
    </xf>
    <xf numFmtId="0" fontId="16" fillId="0" borderId="5" xfId="0" applyFont="1" applyBorder="1" applyAlignment="1">
      <alignment/>
    </xf>
    <xf numFmtId="0" fontId="16" fillId="0" borderId="5" xfId="0" applyFont="1" applyBorder="1" applyAlignment="1">
      <alignment horizontal="right"/>
    </xf>
    <xf numFmtId="0" fontId="16" fillId="0" borderId="8" xfId="0" applyFont="1" applyBorder="1" applyAlignment="1">
      <alignment horizontal="right"/>
    </xf>
    <xf numFmtId="0" fontId="33" fillId="0" borderId="21" xfId="0" applyFont="1" applyBorder="1" applyAlignment="1">
      <alignment horizontal="center"/>
    </xf>
    <xf numFmtId="0" fontId="33" fillId="0" borderId="7" xfId="0" applyFont="1" applyBorder="1" applyAlignment="1">
      <alignment horizontal="center"/>
    </xf>
    <xf numFmtId="0" fontId="33" fillId="0" borderId="22" xfId="0" applyFont="1" applyBorder="1" applyAlignment="1">
      <alignment horizontal="center"/>
    </xf>
    <xf numFmtId="0" fontId="33" fillId="0" borderId="20" xfId="0" applyFont="1" applyBorder="1" applyAlignment="1">
      <alignment horizontal="center"/>
    </xf>
    <xf numFmtId="0" fontId="33" fillId="0" borderId="5" xfId="0" applyFont="1" applyFill="1" applyBorder="1" applyAlignment="1">
      <alignment/>
    </xf>
    <xf numFmtId="0" fontId="34" fillId="0" borderId="4" xfId="0" applyFont="1" applyBorder="1" applyAlignment="1">
      <alignment/>
    </xf>
    <xf numFmtId="0" fontId="34" fillId="0" borderId="0" xfId="0" applyFont="1" applyBorder="1" applyAlignment="1">
      <alignment/>
    </xf>
    <xf numFmtId="0" fontId="34" fillId="0" borderId="15" xfId="0" applyFont="1" applyBorder="1" applyAlignment="1">
      <alignment/>
    </xf>
    <xf numFmtId="0" fontId="33" fillId="0" borderId="5" xfId="0" applyFont="1" applyBorder="1" applyAlignment="1">
      <alignment/>
    </xf>
    <xf numFmtId="173" fontId="34" fillId="0" borderId="13" xfId="0" applyNumberFormat="1" applyFont="1" applyBorder="1" applyAlignment="1">
      <alignment/>
    </xf>
    <xf numFmtId="173" fontId="34" fillId="0" borderId="16" xfId="0" applyNumberFormat="1" applyFont="1" applyBorder="1" applyAlignment="1">
      <alignment/>
    </xf>
    <xf numFmtId="0" fontId="34" fillId="0" borderId="8" xfId="0" applyFont="1" applyBorder="1" applyAlignment="1">
      <alignment/>
    </xf>
    <xf numFmtId="0" fontId="34" fillId="0" borderId="14" xfId="0" applyFont="1" applyBorder="1" applyAlignment="1">
      <alignment/>
    </xf>
    <xf numFmtId="0" fontId="33" fillId="0" borderId="8" xfId="0" applyFont="1" applyFill="1" applyBorder="1" applyAlignment="1">
      <alignment/>
    </xf>
    <xf numFmtId="173" fontId="34" fillId="5" borderId="14" xfId="0" applyNumberFormat="1" applyFont="1" applyFill="1" applyBorder="1" applyAlignment="1">
      <alignment/>
    </xf>
    <xf numFmtId="173" fontId="34" fillId="2" borderId="13" xfId="0" applyNumberFormat="1" applyFont="1" applyFill="1" applyBorder="1" applyAlignment="1">
      <alignment/>
    </xf>
    <xf numFmtId="173" fontId="34" fillId="10" borderId="17" xfId="0" applyNumberFormat="1" applyFont="1" applyFill="1" applyBorder="1" applyAlignment="1">
      <alignment/>
    </xf>
    <xf numFmtId="173" fontId="34" fillId="6" borderId="19" xfId="0" applyNumberFormat="1" applyFont="1" applyFill="1" applyBorder="1" applyAlignment="1">
      <alignment/>
    </xf>
    <xf numFmtId="0" fontId="33" fillId="0" borderId="21" xfId="0" applyFont="1" applyBorder="1" applyAlignment="1">
      <alignment/>
    </xf>
    <xf numFmtId="0" fontId="34" fillId="0" borderId="22" xfId="0" applyFont="1" applyBorder="1" applyAlignment="1">
      <alignment/>
    </xf>
    <xf numFmtId="0" fontId="35" fillId="0" borderId="5" xfId="0" applyFont="1" applyBorder="1" applyAlignment="1">
      <alignment/>
    </xf>
    <xf numFmtId="0" fontId="34" fillId="0" borderId="7" xfId="0" applyFont="1" applyBorder="1" applyAlignment="1">
      <alignment/>
    </xf>
    <xf numFmtId="173" fontId="34" fillId="0" borderId="4" xfId="0" applyNumberFormat="1" applyFont="1" applyBorder="1" applyAlignment="1">
      <alignment/>
    </xf>
    <xf numFmtId="2" fontId="34" fillId="0" borderId="4" xfId="0" applyNumberFormat="1" applyFont="1" applyBorder="1" applyAlignment="1">
      <alignment/>
    </xf>
    <xf numFmtId="173" fontId="34" fillId="8" borderId="4" xfId="0" applyNumberFormat="1" applyFont="1" applyFill="1" applyBorder="1" applyAlignment="1">
      <alignment/>
    </xf>
    <xf numFmtId="0" fontId="35" fillId="0" borderId="8" xfId="0" applyFont="1" applyFill="1" applyBorder="1" applyAlignment="1">
      <alignment/>
    </xf>
    <xf numFmtId="173" fontId="34" fillId="5" borderId="4" xfId="0" applyNumberFormat="1" applyFont="1" applyFill="1" applyBorder="1" applyAlignment="1">
      <alignment/>
    </xf>
    <xf numFmtId="173" fontId="0" fillId="11" borderId="6" xfId="0" applyNumberFormat="1" applyFill="1" applyBorder="1" applyAlignment="1">
      <alignment/>
    </xf>
    <xf numFmtId="174" fontId="0" fillId="0" borderId="0" xfId="0" applyNumberFormat="1" applyAlignment="1">
      <alignment/>
    </xf>
    <xf numFmtId="0" fontId="34" fillId="0" borderId="0" xfId="0" applyFont="1" applyAlignment="1">
      <alignment/>
    </xf>
    <xf numFmtId="172" fontId="34" fillId="0" borderId="15" xfId="0" applyNumberFormat="1" applyFont="1" applyBorder="1" applyAlignment="1">
      <alignment/>
    </xf>
    <xf numFmtId="172" fontId="34" fillId="0" borderId="4" xfId="0" applyNumberFormat="1" applyFont="1" applyBorder="1" applyAlignment="1">
      <alignment/>
    </xf>
    <xf numFmtId="173" fontId="34" fillId="7" borderId="4" xfId="0" applyNumberFormat="1" applyFont="1" applyFill="1" applyBorder="1" applyAlignment="1">
      <alignment/>
    </xf>
    <xf numFmtId="173" fontId="34" fillId="11" borderId="6" xfId="0" applyNumberFormat="1" applyFont="1" applyFill="1" applyBorder="1" applyAlignment="1">
      <alignment/>
    </xf>
    <xf numFmtId="0" fontId="5" fillId="0" borderId="23" xfId="0" applyFont="1" applyBorder="1" applyAlignment="1">
      <alignment/>
    </xf>
    <xf numFmtId="0" fontId="5" fillId="0" borderId="29" xfId="0" applyFont="1" applyBorder="1" applyAlignment="1">
      <alignment/>
    </xf>
    <xf numFmtId="0" fontId="0" fillId="0" borderId="29" xfId="0" applyBorder="1" applyAlignment="1">
      <alignment/>
    </xf>
    <xf numFmtId="1" fontId="0" fillId="0" borderId="14" xfId="0" applyNumberFormat="1" applyBorder="1" applyAlignment="1">
      <alignment/>
    </xf>
    <xf numFmtId="1" fontId="0" fillId="0" borderId="16" xfId="0" applyNumberFormat="1" applyBorder="1" applyAlignment="1">
      <alignment/>
    </xf>
    <xf numFmtId="2" fontId="0" fillId="0" borderId="16" xfId="0" applyNumberFormat="1" applyBorder="1" applyAlignment="1">
      <alignment/>
    </xf>
    <xf numFmtId="0" fontId="5" fillId="0" borderId="7" xfId="0" applyFont="1" applyFill="1" applyBorder="1" applyAlignment="1">
      <alignment horizontal="center"/>
    </xf>
    <xf numFmtId="177" fontId="0" fillId="0" borderId="16" xfId="0" applyNumberFormat="1" applyBorder="1" applyAlignment="1">
      <alignment/>
    </xf>
    <xf numFmtId="0" fontId="16" fillId="0" borderId="25" xfId="0" applyFont="1" applyBorder="1" applyAlignment="1">
      <alignment/>
    </xf>
    <xf numFmtId="0" fontId="0" fillId="0" borderId="26" xfId="0" applyBorder="1" applyAlignment="1">
      <alignment/>
    </xf>
    <xf numFmtId="0" fontId="0" fillId="0" borderId="28" xfId="0" applyBorder="1" applyAlignment="1">
      <alignment/>
    </xf>
    <xf numFmtId="0" fontId="33" fillId="0" borderId="1" xfId="0" applyFont="1" applyBorder="1" applyAlignment="1">
      <alignment horizontal="center"/>
    </xf>
    <xf numFmtId="0" fontId="33" fillId="0" borderId="2" xfId="0" applyFont="1" applyBorder="1" applyAlignment="1">
      <alignment horizontal="center"/>
    </xf>
    <xf numFmtId="0" fontId="33" fillId="0" borderId="12" xfId="0" applyFont="1" applyBorder="1" applyAlignment="1">
      <alignment horizontal="center"/>
    </xf>
    <xf numFmtId="0" fontId="33" fillId="0" borderId="10" xfId="0" applyFont="1" applyBorder="1" applyAlignment="1">
      <alignment horizontal="center"/>
    </xf>
    <xf numFmtId="0" fontId="33" fillId="0" borderId="3" xfId="0" applyFont="1" applyBorder="1" applyAlignment="1">
      <alignment horizontal="center"/>
    </xf>
    <xf numFmtId="0" fontId="33" fillId="0" borderId="5" xfId="0" applyFont="1" applyBorder="1" applyAlignment="1">
      <alignment horizontal="center"/>
    </xf>
    <xf numFmtId="1" fontId="34" fillId="0" borderId="4" xfId="0" applyNumberFormat="1" applyFont="1" applyBorder="1" applyAlignment="1">
      <alignment/>
    </xf>
    <xf numFmtId="0" fontId="33" fillId="0" borderId="31" xfId="0" applyFont="1" applyBorder="1" applyAlignment="1">
      <alignment horizontal="center"/>
    </xf>
    <xf numFmtId="1" fontId="34" fillId="0" borderId="13" xfId="0" applyNumberFormat="1" applyFont="1" applyBorder="1" applyAlignment="1">
      <alignment/>
    </xf>
    <xf numFmtId="0" fontId="34" fillId="0" borderId="16" xfId="0" applyFont="1" applyBorder="1" applyAlignment="1">
      <alignment/>
    </xf>
    <xf numFmtId="173" fontId="34" fillId="5" borderId="13" xfId="0" applyNumberFormat="1" applyFont="1" applyFill="1" applyBorder="1" applyAlignment="1">
      <alignment/>
    </xf>
    <xf numFmtId="1" fontId="34" fillId="0" borderId="33" xfId="0" applyNumberFormat="1" applyFont="1" applyBorder="1" applyAlignment="1">
      <alignment/>
    </xf>
    <xf numFmtId="177" fontId="34" fillId="0" borderId="32" xfId="0" applyNumberFormat="1" applyFont="1" applyBorder="1" applyAlignment="1">
      <alignment/>
    </xf>
    <xf numFmtId="173" fontId="34" fillId="5" borderId="33" xfId="0" applyNumberFormat="1" applyFont="1" applyFill="1" applyBorder="1" applyAlignment="1">
      <alignment/>
    </xf>
    <xf numFmtId="0" fontId="33" fillId="0" borderId="8" xfId="0" applyFont="1" applyBorder="1" applyAlignment="1">
      <alignment/>
    </xf>
    <xf numFmtId="0" fontId="33" fillId="0" borderId="14" xfId="0" applyFont="1" applyBorder="1" applyAlignment="1">
      <alignment/>
    </xf>
    <xf numFmtId="173" fontId="34" fillId="2" borderId="6" xfId="0" applyNumberFormat="1" applyFont="1" applyFill="1" applyBorder="1" applyAlignment="1">
      <alignment/>
    </xf>
    <xf numFmtId="0" fontId="16" fillId="0" borderId="4" xfId="0" applyFont="1" applyBorder="1" applyAlignment="1">
      <alignment/>
    </xf>
    <xf numFmtId="0" fontId="33" fillId="0" borderId="2" xfId="0" applyFont="1" applyBorder="1" applyAlignment="1">
      <alignment/>
    </xf>
    <xf numFmtId="0" fontId="33" fillId="0" borderId="3" xfId="0" applyFont="1" applyBorder="1" applyAlignment="1">
      <alignment/>
    </xf>
    <xf numFmtId="0" fontId="33" fillId="0" borderId="4" xfId="0" applyFont="1" applyBorder="1" applyAlignment="1">
      <alignment/>
    </xf>
    <xf numFmtId="1" fontId="34" fillId="0" borderId="0" xfId="0" applyNumberFormat="1" applyFont="1" applyBorder="1" applyAlignment="1">
      <alignment/>
    </xf>
    <xf numFmtId="0" fontId="34" fillId="0" borderId="5" xfId="0" applyFont="1" applyBorder="1" applyAlignment="1">
      <alignment/>
    </xf>
    <xf numFmtId="0" fontId="33" fillId="0" borderId="0" xfId="0" applyFont="1" applyBorder="1" applyAlignment="1">
      <alignment/>
    </xf>
    <xf numFmtId="0" fontId="33" fillId="0" borderId="0" xfId="0" applyFont="1" applyAlignment="1">
      <alignment/>
    </xf>
    <xf numFmtId="0" fontId="33" fillId="0" borderId="13" xfId="0" applyFont="1" applyBorder="1" applyAlignment="1">
      <alignment/>
    </xf>
    <xf numFmtId="1" fontId="34" fillId="0" borderId="16" xfId="0" applyNumberFormat="1" applyFont="1" applyBorder="1" applyAlignment="1">
      <alignment/>
    </xf>
    <xf numFmtId="0" fontId="34" fillId="0" borderId="31" xfId="0" applyFont="1" applyBorder="1" applyAlignment="1">
      <alignment/>
    </xf>
    <xf numFmtId="177" fontId="0" fillId="0" borderId="0" xfId="0" applyNumberFormat="1" applyAlignment="1">
      <alignment/>
    </xf>
    <xf numFmtId="0" fontId="35" fillId="11" borderId="0" xfId="0" applyFont="1" applyFill="1" applyAlignment="1">
      <alignment/>
    </xf>
    <xf numFmtId="0" fontId="34" fillId="11" borderId="0" xfId="0" applyFont="1" applyFill="1" applyAlignment="1">
      <alignment/>
    </xf>
    <xf numFmtId="0" fontId="36" fillId="11" borderId="32" xfId="0" applyFont="1" applyFill="1" applyBorder="1" applyAlignment="1">
      <alignment horizontal="center"/>
    </xf>
    <xf numFmtId="0" fontId="37" fillId="11" borderId="32" xfId="0" applyFont="1" applyFill="1" applyBorder="1" applyAlignment="1">
      <alignment horizontal="center"/>
    </xf>
    <xf numFmtId="0" fontId="35" fillId="11" borderId="0" xfId="0" applyFont="1" applyFill="1" applyBorder="1" applyAlignment="1">
      <alignment/>
    </xf>
    <xf numFmtId="0" fontId="34" fillId="11" borderId="0" xfId="0" applyFont="1" applyFill="1" applyBorder="1" applyAlignment="1">
      <alignment/>
    </xf>
    <xf numFmtId="2" fontId="34" fillId="11" borderId="0" xfId="0" applyNumberFormat="1" applyFont="1" applyFill="1" applyBorder="1" applyAlignment="1">
      <alignment/>
    </xf>
    <xf numFmtId="0" fontId="35" fillId="11" borderId="16" xfId="0" applyFont="1" applyFill="1" applyBorder="1" applyAlignment="1">
      <alignment/>
    </xf>
    <xf numFmtId="0" fontId="34" fillId="11" borderId="16" xfId="0" applyFont="1" applyFill="1" applyBorder="1" applyAlignment="1">
      <alignment/>
    </xf>
    <xf numFmtId="2" fontId="34" fillId="11" borderId="16" xfId="0" applyNumberFormat="1" applyFont="1" applyFill="1" applyBorder="1" applyAlignment="1">
      <alignment/>
    </xf>
    <xf numFmtId="0" fontId="36" fillId="11" borderId="9" xfId="0" applyFont="1" applyFill="1" applyBorder="1" applyAlignment="1">
      <alignment horizontal="center"/>
    </xf>
    <xf numFmtId="0" fontId="36" fillId="11" borderId="10" xfId="0" applyFont="1" applyFill="1" applyBorder="1" applyAlignment="1">
      <alignment horizontal="center"/>
    </xf>
    <xf numFmtId="0" fontId="35" fillId="11" borderId="10" xfId="0" applyFont="1" applyFill="1" applyBorder="1" applyAlignment="1">
      <alignment horizontal="center"/>
    </xf>
    <xf numFmtId="173" fontId="34" fillId="11" borderId="0" xfId="0" applyNumberFormat="1" applyFont="1" applyFill="1" applyBorder="1" applyAlignment="1">
      <alignment/>
    </xf>
    <xf numFmtId="173" fontId="34" fillId="11" borderId="0" xfId="0" applyNumberFormat="1" applyFont="1" applyFill="1" applyAlignment="1">
      <alignment/>
    </xf>
    <xf numFmtId="173" fontId="34" fillId="11" borderId="16" xfId="0" applyNumberFormat="1" applyFont="1" applyFill="1" applyBorder="1" applyAlignment="1">
      <alignment/>
    </xf>
    <xf numFmtId="0" fontId="34" fillId="11" borderId="16" xfId="0" applyFont="1" applyFill="1" applyBorder="1" applyAlignment="1">
      <alignment/>
    </xf>
    <xf numFmtId="0" fontId="16" fillId="0" borderId="6" xfId="0" applyFont="1" applyBorder="1" applyAlignment="1">
      <alignment/>
    </xf>
    <xf numFmtId="0" fontId="33" fillId="0" borderId="1" xfId="0" applyFont="1" applyBorder="1" applyAlignment="1">
      <alignment horizontal="left"/>
    </xf>
    <xf numFmtId="0" fontId="33" fillId="0" borderId="9" xfId="0" applyFont="1" applyBorder="1" applyAlignment="1">
      <alignment horizontal="left"/>
    </xf>
    <xf numFmtId="0" fontId="33" fillId="0" borderId="2" xfId="0" applyFont="1" applyFill="1" applyBorder="1" applyAlignment="1">
      <alignment horizontal="center"/>
    </xf>
    <xf numFmtId="0" fontId="33" fillId="0" borderId="12" xfId="0" applyFont="1" applyFill="1" applyBorder="1" applyAlignment="1">
      <alignment horizontal="left"/>
    </xf>
    <xf numFmtId="0" fontId="33" fillId="0" borderId="10" xfId="0" applyFont="1" applyFill="1" applyBorder="1" applyAlignment="1">
      <alignment horizontal="left"/>
    </xf>
    <xf numFmtId="0" fontId="33" fillId="0" borderId="7" xfId="0" applyFont="1" applyFill="1" applyBorder="1" applyAlignment="1">
      <alignment horizontal="right"/>
    </xf>
    <xf numFmtId="0" fontId="33" fillId="0" borderId="10" xfId="0" applyFont="1" applyFill="1" applyBorder="1" applyAlignment="1">
      <alignment horizontal="right"/>
    </xf>
    <xf numFmtId="0" fontId="33" fillId="0" borderId="3" xfId="0" applyFont="1" applyFill="1" applyBorder="1" applyAlignment="1">
      <alignment horizontal="right"/>
    </xf>
    <xf numFmtId="0" fontId="33" fillId="0" borderId="5" xfId="0" applyFont="1" applyBorder="1" applyAlignment="1">
      <alignment horizontal="left"/>
    </xf>
    <xf numFmtId="0" fontId="34" fillId="0" borderId="4" xfId="0" applyFont="1" applyFill="1" applyBorder="1" applyAlignment="1">
      <alignment/>
    </xf>
    <xf numFmtId="0" fontId="34" fillId="0" borderId="0" xfId="0" applyFont="1" applyFill="1" applyBorder="1" applyAlignment="1">
      <alignment/>
    </xf>
    <xf numFmtId="0" fontId="34" fillId="2" borderId="4" xfId="0" applyFont="1" applyFill="1" applyBorder="1" applyAlignment="1">
      <alignment/>
    </xf>
    <xf numFmtId="0" fontId="33" fillId="0" borderId="8" xfId="0" applyFont="1" applyBorder="1" applyAlignment="1">
      <alignment horizontal="left"/>
    </xf>
    <xf numFmtId="0" fontId="34" fillId="0" borderId="6" xfId="0" applyFont="1" applyFill="1" applyBorder="1" applyAlignment="1">
      <alignment/>
    </xf>
    <xf numFmtId="0" fontId="34" fillId="0" borderId="14" xfId="0" applyFont="1" applyFill="1" applyBorder="1" applyAlignment="1">
      <alignment/>
    </xf>
    <xf numFmtId="0" fontId="34" fillId="2" borderId="6" xfId="0" applyFont="1" applyFill="1" applyBorder="1" applyAlignment="1">
      <alignment/>
    </xf>
    <xf numFmtId="0" fontId="33" fillId="0" borderId="23" xfId="0" applyFont="1" applyBorder="1" applyAlignment="1">
      <alignment horizontal="left"/>
    </xf>
    <xf numFmtId="0" fontId="33" fillId="0" borderId="24" xfId="0" applyFont="1" applyBorder="1" applyAlignment="1">
      <alignment/>
    </xf>
    <xf numFmtId="0" fontId="34" fillId="5" borderId="27" xfId="0" applyFont="1" applyFill="1" applyBorder="1" applyAlignment="1">
      <alignment/>
    </xf>
    <xf numFmtId="0" fontId="34" fillId="5" borderId="24" xfId="0" applyFont="1" applyFill="1" applyBorder="1" applyAlignment="1">
      <alignment/>
    </xf>
    <xf numFmtId="1" fontId="34" fillId="0" borderId="4" xfId="0" applyNumberFormat="1" applyFont="1" applyFill="1" applyBorder="1" applyAlignment="1">
      <alignment/>
    </xf>
    <xf numFmtId="1" fontId="34" fillId="0" borderId="0" xfId="0" applyNumberFormat="1" applyFont="1" applyFill="1" applyBorder="1" applyAlignment="1">
      <alignment/>
    </xf>
    <xf numFmtId="0" fontId="33" fillId="0" borderId="25" xfId="0" applyFont="1" applyBorder="1" applyAlignment="1">
      <alignment horizontal="left"/>
    </xf>
    <xf numFmtId="0" fontId="33" fillId="0" borderId="26" xfId="0" applyFont="1" applyBorder="1" applyAlignment="1">
      <alignment/>
    </xf>
    <xf numFmtId="0" fontId="34" fillId="5" borderId="28" xfId="0" applyFont="1" applyFill="1" applyBorder="1" applyAlignment="1">
      <alignment/>
    </xf>
    <xf numFmtId="0" fontId="34" fillId="5" borderId="26" xfId="0" applyFont="1" applyFill="1" applyBorder="1" applyAlignment="1">
      <alignment/>
    </xf>
    <xf numFmtId="0" fontId="34" fillId="4" borderId="6" xfId="0" applyFont="1" applyFill="1" applyBorder="1" applyAlignment="1">
      <alignment/>
    </xf>
    <xf numFmtId="0" fontId="34" fillId="4" borderId="14" xfId="0" applyFont="1" applyFill="1" applyBorder="1" applyAlignment="1">
      <alignment/>
    </xf>
    <xf numFmtId="0" fontId="34" fillId="8" borderId="6" xfId="0" applyFont="1" applyFill="1" applyBorder="1" applyAlignment="1">
      <alignment/>
    </xf>
    <xf numFmtId="0" fontId="33" fillId="2" borderId="23" xfId="0" applyFont="1" applyFill="1" applyBorder="1" applyAlignment="1">
      <alignment horizontal="left"/>
    </xf>
    <xf numFmtId="0" fontId="2" fillId="2" borderId="24" xfId="0" applyFont="1" applyFill="1" applyBorder="1" applyAlignment="1">
      <alignment/>
    </xf>
    <xf numFmtId="0" fontId="34" fillId="2" borderId="27" xfId="0" applyFont="1" applyFill="1" applyBorder="1" applyAlignment="1">
      <alignment/>
    </xf>
    <xf numFmtId="0" fontId="33" fillId="0" borderId="18" xfId="0" applyFont="1" applyBorder="1" applyAlignment="1">
      <alignment horizontal="center"/>
    </xf>
    <xf numFmtId="0" fontId="33" fillId="0" borderId="13" xfId="0" applyFont="1" applyBorder="1" applyAlignment="1">
      <alignment horizontal="center"/>
    </xf>
    <xf numFmtId="0" fontId="33" fillId="0" borderId="17" xfId="0" applyFont="1" applyBorder="1" applyAlignment="1">
      <alignment horizontal="center"/>
    </xf>
    <xf numFmtId="0" fontId="34" fillId="0" borderId="6" xfId="0" applyFont="1" applyBorder="1" applyAlignment="1">
      <alignment/>
    </xf>
    <xf numFmtId="172" fontId="34" fillId="0" borderId="19" xfId="0" applyNumberFormat="1" applyFont="1" applyBorder="1" applyAlignment="1">
      <alignment/>
    </xf>
    <xf numFmtId="0" fontId="0" fillId="11" borderId="0" xfId="0" applyFill="1" applyAlignment="1">
      <alignment/>
    </xf>
    <xf numFmtId="0" fontId="24" fillId="11" borderId="32" xfId="0" applyFont="1" applyFill="1" applyBorder="1" applyAlignment="1">
      <alignment horizontal="centerContinuous"/>
    </xf>
    <xf numFmtId="0" fontId="10" fillId="11" borderId="32" xfId="0" applyFont="1" applyFill="1" applyBorder="1" applyAlignment="1">
      <alignment horizontal="centerContinuous"/>
    </xf>
    <xf numFmtId="0" fontId="16" fillId="11" borderId="0" xfId="0" applyFont="1" applyFill="1" applyBorder="1" applyAlignment="1">
      <alignment/>
    </xf>
    <xf numFmtId="173" fontId="0" fillId="11" borderId="0" xfId="0" applyNumberFormat="1" applyFill="1" applyBorder="1" applyAlignment="1">
      <alignment/>
    </xf>
    <xf numFmtId="0" fontId="16" fillId="11" borderId="16" xfId="0" applyFont="1" applyFill="1" applyBorder="1" applyAlignment="1">
      <alignment/>
    </xf>
    <xf numFmtId="0" fontId="0" fillId="11" borderId="16" xfId="0" applyFill="1" applyBorder="1" applyAlignment="1">
      <alignment/>
    </xf>
    <xf numFmtId="0" fontId="24" fillId="11" borderId="9" xfId="0" applyFont="1" applyFill="1" applyBorder="1" applyAlignment="1">
      <alignment/>
    </xf>
    <xf numFmtId="0" fontId="24" fillId="11" borderId="10" xfId="0" applyFont="1" applyFill="1" applyBorder="1" applyAlignment="1">
      <alignment horizontal="center"/>
    </xf>
    <xf numFmtId="0" fontId="24" fillId="11" borderId="10" xfId="0" applyFont="1" applyFill="1" applyBorder="1" applyAlignment="1">
      <alignment/>
    </xf>
    <xf numFmtId="0" fontId="0" fillId="11" borderId="0" xfId="0" applyFill="1" applyBorder="1" applyAlignment="1">
      <alignment/>
    </xf>
    <xf numFmtId="173" fontId="0" fillId="11" borderId="0" xfId="0" applyNumberFormat="1" applyFill="1" applyAlignment="1">
      <alignment/>
    </xf>
    <xf numFmtId="173" fontId="0" fillId="11" borderId="16" xfId="0" applyNumberFormat="1" applyFill="1" applyBorder="1" applyAlignment="1">
      <alignment/>
    </xf>
    <xf numFmtId="0" fontId="0" fillId="11" borderId="16" xfId="0" applyFill="1" applyBorder="1" applyAlignment="1">
      <alignment/>
    </xf>
    <xf numFmtId="0" fontId="24" fillId="11" borderId="32" xfId="0" applyFont="1" applyFill="1" applyBorder="1" applyAlignment="1">
      <alignment horizontal="center"/>
    </xf>
    <xf numFmtId="173" fontId="0" fillId="6" borderId="0" xfId="0" applyNumberFormat="1" applyFill="1" applyAlignment="1">
      <alignment/>
    </xf>
    <xf numFmtId="173" fontId="0" fillId="2" borderId="0" xfId="0" applyNumberFormat="1" applyFill="1" applyAlignment="1">
      <alignment/>
    </xf>
    <xf numFmtId="0" fontId="16" fillId="0" borderId="31" xfId="0" applyFont="1" applyFill="1" applyBorder="1" applyAlignment="1">
      <alignment/>
    </xf>
    <xf numFmtId="0" fontId="0" fillId="0" borderId="13" xfId="0" applyFill="1" applyBorder="1" applyAlignment="1">
      <alignment/>
    </xf>
    <xf numFmtId="0" fontId="24" fillId="0" borderId="21" xfId="0" applyFont="1" applyFill="1" applyBorder="1" applyAlignment="1">
      <alignment horizontal="center"/>
    </xf>
    <xf numFmtId="0" fontId="24" fillId="0" borderId="7" xfId="0" applyFont="1" applyBorder="1" applyAlignment="1">
      <alignment/>
    </xf>
    <xf numFmtId="0" fontId="24" fillId="0" borderId="20" xfId="0" applyFont="1" applyBorder="1" applyAlignment="1">
      <alignment/>
    </xf>
    <xf numFmtId="0" fontId="0" fillId="0" borderId="17" xfId="0" applyBorder="1" applyAlignment="1">
      <alignment/>
    </xf>
    <xf numFmtId="0" fontId="0" fillId="5" borderId="4" xfId="0" applyFill="1" applyBorder="1" applyAlignment="1">
      <alignment/>
    </xf>
    <xf numFmtId="173" fontId="0" fillId="5" borderId="4" xfId="0" applyNumberFormat="1" applyFill="1" applyBorder="1" applyAlignment="1">
      <alignment/>
    </xf>
    <xf numFmtId="0" fontId="0" fillId="5" borderId="15" xfId="0" applyFill="1" applyBorder="1" applyAlignment="1">
      <alignment/>
    </xf>
    <xf numFmtId="0" fontId="16" fillId="0" borderId="4" xfId="0" applyFont="1" applyFill="1" applyBorder="1" applyAlignment="1">
      <alignment/>
    </xf>
    <xf numFmtId="0" fontId="16" fillId="0" borderId="13" xfId="0" applyFont="1" applyFill="1" applyBorder="1" applyAlignment="1">
      <alignment/>
    </xf>
    <xf numFmtId="173" fontId="0" fillId="0" borderId="4" xfId="0" applyNumberFormat="1" applyFill="1" applyBorder="1" applyAlignment="1">
      <alignment/>
    </xf>
    <xf numFmtId="1" fontId="0" fillId="0" borderId="4" xfId="0" applyNumberFormat="1" applyFill="1" applyBorder="1" applyAlignment="1">
      <alignment/>
    </xf>
    <xf numFmtId="173" fontId="0" fillId="0" borderId="13" xfId="0" applyNumberFormat="1" applyFill="1" applyBorder="1" applyAlignment="1">
      <alignment/>
    </xf>
    <xf numFmtId="1" fontId="0" fillId="0" borderId="13" xfId="0" applyNumberFormat="1" applyFill="1" applyBorder="1" applyAlignment="1">
      <alignment/>
    </xf>
    <xf numFmtId="0" fontId="24" fillId="0" borderId="7" xfId="0" applyFont="1" applyBorder="1" applyAlignment="1">
      <alignment horizontal="center"/>
    </xf>
    <xf numFmtId="0" fontId="6" fillId="0" borderId="0" xfId="0" applyFont="1" applyFill="1" applyAlignment="1">
      <alignment/>
    </xf>
    <xf numFmtId="0" fontId="0" fillId="0" borderId="2" xfId="0" applyBorder="1" applyAlignment="1">
      <alignment/>
    </xf>
    <xf numFmtId="0" fontId="33" fillId="0" borderId="0" xfId="0" applyFont="1" applyFill="1" applyBorder="1" applyAlignment="1">
      <alignment/>
    </xf>
    <xf numFmtId="0" fontId="35" fillId="0" borderId="0" xfId="0" applyFont="1" applyAlignment="1">
      <alignment/>
    </xf>
    <xf numFmtId="0" fontId="35" fillId="0" borderId="23" xfId="0" applyFont="1" applyFill="1" applyBorder="1" applyAlignment="1">
      <alignment horizontal="center"/>
    </xf>
    <xf numFmtId="0" fontId="0" fillId="0" borderId="5" xfId="0" applyFill="1" applyBorder="1" applyAlignment="1" applyProtection="1">
      <alignment/>
      <protection hidden="1"/>
    </xf>
    <xf numFmtId="0" fontId="0" fillId="0" borderId="4"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5" xfId="0" applyFont="1" applyFill="1" applyBorder="1" applyAlignment="1">
      <alignment/>
    </xf>
    <xf numFmtId="0" fontId="0" fillId="0" borderId="4" xfId="0" applyFill="1" applyBorder="1" applyAlignment="1" applyProtection="1">
      <alignment/>
      <protection hidden="1"/>
    </xf>
    <xf numFmtId="0" fontId="0" fillId="0" borderId="15" xfId="0" applyFont="1" applyFill="1" applyBorder="1" applyAlignment="1" applyProtection="1">
      <alignment/>
      <protection hidden="1"/>
    </xf>
    <xf numFmtId="0" fontId="0" fillId="0" borderId="31" xfId="0" applyFill="1" applyBorder="1" applyAlignment="1" applyProtection="1">
      <alignment/>
      <protection hidden="1"/>
    </xf>
    <xf numFmtId="0" fontId="0" fillId="0" borderId="13" xfId="0" applyFont="1" applyFill="1" applyBorder="1" applyAlignment="1" applyProtection="1">
      <alignment/>
      <protection hidden="1"/>
    </xf>
    <xf numFmtId="0" fontId="0" fillId="0" borderId="16" xfId="0" applyFont="1" applyFill="1" applyBorder="1" applyAlignment="1" applyProtection="1">
      <alignment/>
      <protection hidden="1"/>
    </xf>
    <xf numFmtId="0" fontId="0" fillId="0" borderId="13" xfId="0" applyFill="1" applyBorder="1" applyAlignment="1" applyProtection="1">
      <alignment/>
      <protection hidden="1"/>
    </xf>
    <xf numFmtId="0" fontId="0" fillId="0" borderId="17" xfId="0" applyFont="1" applyFill="1" applyBorder="1" applyAlignment="1" applyProtection="1">
      <alignment/>
      <protection hidden="1"/>
    </xf>
    <xf numFmtId="3" fontId="0" fillId="0" borderId="0" xfId="0" applyNumberFormat="1" applyAlignment="1">
      <alignment/>
    </xf>
    <xf numFmtId="172" fontId="0" fillId="0" borderId="9" xfId="0" applyNumberFormat="1" applyFill="1" applyBorder="1" applyAlignment="1">
      <alignment/>
    </xf>
    <xf numFmtId="189" fontId="0" fillId="0" borderId="5" xfId="21" applyNumberFormat="1" applyBorder="1" applyAlignment="1">
      <alignment/>
    </xf>
    <xf numFmtId="3" fontId="0" fillId="0" borderId="0" xfId="0" applyNumberFormat="1" applyBorder="1" applyAlignment="1">
      <alignment/>
    </xf>
    <xf numFmtId="189" fontId="0" fillId="0" borderId="8" xfId="21" applyNumberFormat="1" applyBorder="1" applyAlignment="1">
      <alignment/>
    </xf>
    <xf numFmtId="3" fontId="0" fillId="0" borderId="14" xfId="0" applyNumberFormat="1" applyBorder="1" applyAlignment="1">
      <alignment/>
    </xf>
    <xf numFmtId="0" fontId="16" fillId="0" borderId="1" xfId="0" applyFont="1" applyBorder="1" applyAlignment="1">
      <alignment/>
    </xf>
    <xf numFmtId="3" fontId="0" fillId="0" borderId="4" xfId="0" applyNumberFormat="1" applyBorder="1" applyAlignment="1">
      <alignment/>
    </xf>
    <xf numFmtId="3" fontId="0" fillId="0" borderId="6" xfId="0" applyNumberFormat="1" applyBorder="1" applyAlignment="1">
      <alignment/>
    </xf>
    <xf numFmtId="189" fontId="0" fillId="0" borderId="2" xfId="21" applyNumberFormat="1" applyBorder="1" applyAlignment="1">
      <alignment/>
    </xf>
    <xf numFmtId="189" fontId="0" fillId="0" borderId="9" xfId="21" applyNumberFormat="1" applyBorder="1" applyAlignment="1">
      <alignment/>
    </xf>
    <xf numFmtId="0" fontId="0" fillId="0" borderId="12" xfId="0" applyBorder="1" applyAlignment="1">
      <alignment/>
    </xf>
    <xf numFmtId="172" fontId="0" fillId="0" borderId="3" xfId="0" applyNumberFormat="1" applyBorder="1" applyAlignment="1">
      <alignment/>
    </xf>
    <xf numFmtId="172" fontId="0" fillId="0" borderId="10" xfId="0" applyNumberFormat="1" applyBorder="1" applyAlignment="1">
      <alignment/>
    </xf>
    <xf numFmtId="172" fontId="0" fillId="0" borderId="9" xfId="0" applyNumberFormat="1" applyBorder="1" applyAlignment="1">
      <alignment/>
    </xf>
    <xf numFmtId="172" fontId="0" fillId="10" borderId="2" xfId="0" applyNumberFormat="1" applyFill="1" applyBorder="1" applyAlignment="1">
      <alignment/>
    </xf>
    <xf numFmtId="172" fontId="0" fillId="10" borderId="4" xfId="0" applyNumberFormat="1" applyFill="1" applyBorder="1" applyAlignment="1">
      <alignment/>
    </xf>
    <xf numFmtId="3" fontId="0" fillId="10" borderId="6" xfId="0" applyNumberFormat="1" applyFill="1" applyBorder="1" applyAlignment="1">
      <alignment/>
    </xf>
    <xf numFmtId="3" fontId="0" fillId="0" borderId="0" xfId="0" applyNumberFormat="1" applyFill="1" applyBorder="1" applyAlignment="1">
      <alignment/>
    </xf>
    <xf numFmtId="3" fontId="0" fillId="5" borderId="4" xfId="0" applyNumberFormat="1" applyFill="1" applyBorder="1" applyAlignment="1">
      <alignment/>
    </xf>
    <xf numFmtId="0" fontId="1" fillId="0" borderId="0" xfId="0" applyFont="1" applyAlignment="1">
      <alignment/>
    </xf>
    <xf numFmtId="0" fontId="35" fillId="0" borderId="24" xfId="0" applyFont="1" applyFill="1" applyBorder="1" applyAlignment="1">
      <alignment horizontal="center"/>
    </xf>
    <xf numFmtId="0" fontId="35" fillId="0" borderId="1" xfId="0" applyFont="1" applyBorder="1" applyAlignment="1">
      <alignment horizontal="center"/>
    </xf>
    <xf numFmtId="0" fontId="35" fillId="0" borderId="18" xfId="0" applyFont="1" applyBorder="1" applyAlignment="1">
      <alignment horizontal="center"/>
    </xf>
    <xf numFmtId="0" fontId="35" fillId="0" borderId="12" xfId="0" applyFont="1" applyBorder="1" applyAlignment="1">
      <alignment horizontal="center"/>
    </xf>
    <xf numFmtId="0" fontId="35" fillId="0" borderId="7" xfId="0" applyFont="1" applyBorder="1" applyAlignment="1">
      <alignment horizontal="center"/>
    </xf>
    <xf numFmtId="0" fontId="35" fillId="0" borderId="10" xfId="0" applyFont="1" applyBorder="1" applyAlignment="1">
      <alignment horizontal="center"/>
    </xf>
    <xf numFmtId="0" fontId="35" fillId="0" borderId="3" xfId="0" applyFont="1" applyBorder="1" applyAlignment="1">
      <alignment horizontal="center"/>
    </xf>
    <xf numFmtId="179" fontId="35" fillId="8" borderId="5" xfId="0" applyNumberFormat="1" applyFont="1" applyFill="1" applyBorder="1" applyAlignment="1">
      <alignment/>
    </xf>
    <xf numFmtId="172" fontId="34" fillId="5" borderId="4" xfId="0" applyNumberFormat="1" applyFont="1" applyFill="1" applyBorder="1" applyAlignment="1">
      <alignment/>
    </xf>
    <xf numFmtId="179" fontId="34" fillId="2" borderId="0" xfId="0" applyNumberFormat="1" applyFont="1" applyFill="1" applyBorder="1" applyAlignment="1">
      <alignment/>
    </xf>
    <xf numFmtId="0" fontId="34" fillId="4" borderId="4" xfId="0" applyFont="1" applyFill="1" applyBorder="1" applyAlignment="1">
      <alignment/>
    </xf>
    <xf numFmtId="177" fontId="34" fillId="0" borderId="4" xfId="0" applyNumberFormat="1" applyFont="1" applyBorder="1" applyAlignment="1">
      <alignment/>
    </xf>
    <xf numFmtId="179" fontId="35" fillId="0" borderId="5" xfId="0" applyNumberFormat="1" applyFont="1" applyBorder="1" applyAlignment="1">
      <alignment/>
    </xf>
    <xf numFmtId="179" fontId="34" fillId="0" borderId="0" xfId="0" applyNumberFormat="1" applyFont="1" applyBorder="1" applyAlignment="1">
      <alignment/>
    </xf>
    <xf numFmtId="1" fontId="34" fillId="7" borderId="4" xfId="0" applyNumberFormat="1" applyFont="1" applyFill="1" applyBorder="1" applyAlignment="1">
      <alignment/>
    </xf>
    <xf numFmtId="177" fontId="34" fillId="6" borderId="4" xfId="0" applyNumberFormat="1" applyFont="1" applyFill="1" applyBorder="1" applyAlignment="1">
      <alignment/>
    </xf>
    <xf numFmtId="179" fontId="35" fillId="0" borderId="31" xfId="0" applyNumberFormat="1" applyFont="1" applyBorder="1" applyAlignment="1">
      <alignment/>
    </xf>
    <xf numFmtId="172" fontId="34" fillId="0" borderId="13" xfId="0" applyNumberFormat="1" applyFont="1" applyBorder="1" applyAlignment="1">
      <alignment/>
    </xf>
    <xf numFmtId="179" fontId="34" fillId="0" borderId="16" xfId="0" applyNumberFormat="1" applyFont="1" applyBorder="1" applyAlignment="1">
      <alignment/>
    </xf>
    <xf numFmtId="177" fontId="34" fillId="0" borderId="13" xfId="0" applyNumberFormat="1" applyFont="1" applyBorder="1" applyAlignment="1">
      <alignment/>
    </xf>
    <xf numFmtId="179" fontId="35" fillId="0" borderId="8" xfId="0" applyNumberFormat="1" applyFont="1" applyBorder="1" applyAlignment="1">
      <alignment/>
    </xf>
    <xf numFmtId="179" fontId="34" fillId="0" borderId="14" xfId="0" applyNumberFormat="1" applyFont="1" applyBorder="1" applyAlignment="1">
      <alignment/>
    </xf>
    <xf numFmtId="177" fontId="34" fillId="0" borderId="6" xfId="0" applyNumberFormat="1" applyFont="1" applyBorder="1" applyAlignment="1">
      <alignment/>
    </xf>
    <xf numFmtId="0" fontId="0" fillId="8" borderId="0" xfId="0" applyFill="1" applyBorder="1" applyAlignment="1">
      <alignment/>
    </xf>
    <xf numFmtId="173" fontId="0" fillId="8" borderId="4" xfId="0" applyNumberFormat="1" applyFill="1" applyBorder="1" applyAlignment="1">
      <alignment/>
    </xf>
    <xf numFmtId="173" fontId="0" fillId="8" borderId="0" xfId="0" applyNumberFormat="1" applyFill="1" applyBorder="1" applyAlignment="1">
      <alignment/>
    </xf>
    <xf numFmtId="1" fontId="0" fillId="8" borderId="4" xfId="0" applyNumberFormat="1" applyFill="1" applyBorder="1" applyAlignment="1">
      <alignment/>
    </xf>
    <xf numFmtId="0" fontId="0" fillId="3" borderId="0" xfId="0" applyFill="1" applyAlignment="1">
      <alignment/>
    </xf>
    <xf numFmtId="172" fontId="16" fillId="0" borderId="1" xfId="0" applyNumberFormat="1" applyFont="1" applyBorder="1" applyAlignment="1">
      <alignment/>
    </xf>
    <xf numFmtId="0" fontId="5" fillId="11" borderId="0" xfId="0" applyFont="1" applyFill="1" applyAlignment="1">
      <alignment/>
    </xf>
    <xf numFmtId="0" fontId="38" fillId="11" borderId="32" xfId="0" applyFont="1" applyFill="1" applyBorder="1" applyAlignment="1">
      <alignment horizontal="center"/>
    </xf>
    <xf numFmtId="0" fontId="11" fillId="11" borderId="9" xfId="0" applyFont="1" applyFill="1" applyBorder="1" applyAlignment="1">
      <alignment horizontal="center"/>
    </xf>
    <xf numFmtId="0" fontId="11" fillId="11" borderId="10" xfId="0" applyFont="1" applyFill="1" applyBorder="1" applyAlignment="1">
      <alignment horizontal="center"/>
    </xf>
    <xf numFmtId="0" fontId="5" fillId="11" borderId="10" xfId="0" applyFont="1" applyFill="1" applyBorder="1" applyAlignment="1">
      <alignment horizontal="center"/>
    </xf>
    <xf numFmtId="0" fontId="5" fillId="11" borderId="0" xfId="0" applyFont="1" applyFill="1" applyBorder="1" applyAlignment="1">
      <alignment/>
    </xf>
    <xf numFmtId="173" fontId="0" fillId="11" borderId="0" xfId="0" applyNumberFormat="1" applyFont="1" applyFill="1" applyBorder="1" applyAlignment="1">
      <alignment/>
    </xf>
    <xf numFmtId="0" fontId="5" fillId="11" borderId="16" xfId="0" applyFont="1" applyFill="1" applyBorder="1" applyAlignment="1">
      <alignment/>
    </xf>
    <xf numFmtId="0" fontId="6" fillId="11" borderId="0" xfId="0" applyFont="1" applyFill="1" applyAlignment="1">
      <alignment/>
    </xf>
    <xf numFmtId="172" fontId="0" fillId="11" borderId="16" xfId="0" applyNumberFormat="1" applyFill="1" applyBorder="1" applyAlignment="1">
      <alignment/>
    </xf>
    <xf numFmtId="0" fontId="49" fillId="0" borderId="0" xfId="0" applyFont="1" applyFill="1" applyBorder="1" applyAlignment="1">
      <alignment/>
    </xf>
    <xf numFmtId="0" fontId="50" fillId="0" borderId="0" xfId="0" applyFont="1" applyAlignment="1">
      <alignment/>
    </xf>
    <xf numFmtId="0" fontId="49" fillId="0" borderId="0" xfId="0" applyFont="1" applyAlignment="1">
      <alignment/>
    </xf>
    <xf numFmtId="0" fontId="49" fillId="0" borderId="23" xfId="0" applyFont="1" applyFill="1" applyBorder="1" applyAlignment="1">
      <alignment horizontal="center"/>
    </xf>
    <xf numFmtId="0" fontId="49" fillId="0" borderId="24" xfId="0" applyFont="1" applyFill="1" applyBorder="1" applyAlignment="1">
      <alignment horizontal="center"/>
    </xf>
    <xf numFmtId="0" fontId="49" fillId="0" borderId="1" xfId="0" applyFont="1" applyBorder="1" applyAlignment="1">
      <alignment horizontal="center"/>
    </xf>
    <xf numFmtId="0" fontId="49" fillId="0" borderId="18" xfId="0" applyFont="1" applyBorder="1" applyAlignment="1">
      <alignment horizontal="center"/>
    </xf>
    <xf numFmtId="0" fontId="49" fillId="0" borderId="12" xfId="0" applyFont="1" applyBorder="1" applyAlignment="1">
      <alignment horizontal="center"/>
    </xf>
    <xf numFmtId="0" fontId="49" fillId="0" borderId="7" xfId="0" applyFont="1" applyBorder="1" applyAlignment="1">
      <alignment horizontal="center"/>
    </xf>
    <xf numFmtId="0" fontId="49" fillId="0" borderId="10" xfId="0" applyFont="1" applyBorder="1" applyAlignment="1">
      <alignment horizontal="center"/>
    </xf>
    <xf numFmtId="0" fontId="49" fillId="0" borderId="3" xfId="0" applyFont="1" applyBorder="1" applyAlignment="1">
      <alignment horizontal="center"/>
    </xf>
    <xf numFmtId="179" fontId="49" fillId="8" borderId="5" xfId="0" applyNumberFormat="1" applyFont="1" applyFill="1" applyBorder="1" applyAlignment="1">
      <alignment/>
    </xf>
    <xf numFmtId="172" fontId="50" fillId="5" borderId="4" xfId="0" applyNumberFormat="1" applyFont="1" applyFill="1" applyBorder="1" applyAlignment="1">
      <alignment/>
    </xf>
    <xf numFmtId="179" fontId="50" fillId="2" borderId="0" xfId="0" applyNumberFormat="1" applyFont="1" applyFill="1" applyBorder="1" applyAlignment="1">
      <alignment/>
    </xf>
    <xf numFmtId="0" fontId="50" fillId="4" borderId="4" xfId="0" applyFont="1" applyFill="1" applyBorder="1" applyAlignment="1">
      <alignment/>
    </xf>
    <xf numFmtId="177" fontId="50" fillId="0" borderId="4" xfId="0" applyNumberFormat="1" applyFont="1" applyBorder="1" applyAlignment="1">
      <alignment/>
    </xf>
    <xf numFmtId="179" fontId="49" fillId="0" borderId="5" xfId="0" applyNumberFormat="1" applyFont="1" applyBorder="1" applyAlignment="1">
      <alignment/>
    </xf>
    <xf numFmtId="172" fontId="50" fillId="0" borderId="4" xfId="0" applyNumberFormat="1" applyFont="1" applyBorder="1" applyAlignment="1">
      <alignment/>
    </xf>
    <xf numFmtId="179" fontId="50" fillId="0" borderId="0" xfId="0" applyNumberFormat="1" applyFont="1" applyBorder="1" applyAlignment="1">
      <alignment/>
    </xf>
    <xf numFmtId="1" fontId="50" fillId="7" borderId="4" xfId="0" applyNumberFormat="1" applyFont="1" applyFill="1" applyBorder="1" applyAlignment="1">
      <alignment/>
    </xf>
    <xf numFmtId="177" fontId="50" fillId="6" borderId="4" xfId="0" applyNumberFormat="1" applyFont="1" applyFill="1" applyBorder="1" applyAlignment="1">
      <alignment/>
    </xf>
    <xf numFmtId="1" fontId="50" fillId="0" borderId="4" xfId="0" applyNumberFormat="1" applyFont="1" applyBorder="1" applyAlignment="1">
      <alignment/>
    </xf>
    <xf numFmtId="179" fontId="49" fillId="0" borderId="31" xfId="0" applyNumberFormat="1" applyFont="1" applyBorder="1" applyAlignment="1">
      <alignment/>
    </xf>
    <xf numFmtId="172" fontId="50" fillId="0" borderId="13" xfId="0" applyNumberFormat="1" applyFont="1" applyBorder="1" applyAlignment="1">
      <alignment/>
    </xf>
    <xf numFmtId="179" fontId="50" fillId="0" borderId="16" xfId="0" applyNumberFormat="1" applyFont="1" applyBorder="1" applyAlignment="1">
      <alignment/>
    </xf>
    <xf numFmtId="1" fontId="50" fillId="0" borderId="13" xfId="0" applyNumberFormat="1" applyFont="1" applyBorder="1" applyAlignment="1">
      <alignment/>
    </xf>
    <xf numFmtId="177" fontId="50" fillId="0" borderId="13" xfId="0" applyNumberFormat="1" applyFont="1" applyBorder="1" applyAlignment="1">
      <alignment/>
    </xf>
    <xf numFmtId="179" fontId="49" fillId="0" borderId="8" xfId="0" applyNumberFormat="1" applyFont="1" applyBorder="1" applyAlignment="1">
      <alignment/>
    </xf>
    <xf numFmtId="179" fontId="50" fillId="0" borderId="14" xfId="0" applyNumberFormat="1" applyFont="1" applyBorder="1" applyAlignment="1">
      <alignment/>
    </xf>
    <xf numFmtId="0" fontId="50" fillId="0" borderId="6" xfId="0" applyFont="1" applyBorder="1" applyAlignment="1">
      <alignment/>
    </xf>
    <xf numFmtId="177" fontId="50" fillId="0" borderId="6" xfId="0" applyNumberFormat="1" applyFont="1" applyBorder="1" applyAlignment="1">
      <alignment/>
    </xf>
    <xf numFmtId="0" fontId="24" fillId="0" borderId="32" xfId="0" applyFont="1" applyFill="1" applyBorder="1" applyAlignment="1">
      <alignment horizontal="centerContinuous"/>
    </xf>
    <xf numFmtId="0" fontId="10" fillId="0" borderId="32" xfId="0" applyFont="1" applyFill="1" applyBorder="1" applyAlignment="1">
      <alignment horizontal="centerContinuous"/>
    </xf>
    <xf numFmtId="0" fontId="16" fillId="0" borderId="0" xfId="0" applyFont="1" applyFill="1" applyBorder="1" applyAlignment="1">
      <alignment/>
    </xf>
    <xf numFmtId="0" fontId="16" fillId="0" borderId="16" xfId="0" applyFont="1" applyFill="1" applyBorder="1" applyAlignment="1">
      <alignment/>
    </xf>
    <xf numFmtId="0" fontId="24" fillId="0" borderId="9" xfId="0" applyFont="1" applyFill="1" applyBorder="1" applyAlignment="1">
      <alignment/>
    </xf>
    <xf numFmtId="0" fontId="24" fillId="0" borderId="10" xfId="0" applyFont="1" applyFill="1" applyBorder="1" applyAlignment="1">
      <alignment horizontal="center"/>
    </xf>
    <xf numFmtId="0" fontId="24" fillId="0" borderId="10" xfId="0" applyFont="1" applyFill="1" applyBorder="1" applyAlignment="1">
      <alignment/>
    </xf>
    <xf numFmtId="173" fontId="0" fillId="0" borderId="0" xfId="0" applyNumberFormat="1" applyFill="1" applyAlignment="1">
      <alignment/>
    </xf>
    <xf numFmtId="0" fontId="0" fillId="0" borderId="16" xfId="0" applyFill="1" applyBorder="1" applyAlignment="1">
      <alignment/>
    </xf>
    <xf numFmtId="0" fontId="24" fillId="0" borderId="32" xfId="0" applyFont="1" applyFill="1" applyBorder="1" applyAlignment="1">
      <alignment horizontal="center"/>
    </xf>
    <xf numFmtId="0" fontId="5" fillId="0" borderId="24" xfId="0" applyFont="1" applyBorder="1" applyAlignment="1">
      <alignment horizontal="center"/>
    </xf>
    <xf numFmtId="0" fontId="5" fillId="0" borderId="29" xfId="0" applyFont="1" applyBorder="1" applyAlignment="1">
      <alignment horizontal="center"/>
    </xf>
    <xf numFmtId="0" fontId="16" fillId="0" borderId="23" xfId="0" applyFont="1" applyBorder="1" applyAlignment="1">
      <alignment horizontal="center"/>
    </xf>
    <xf numFmtId="0" fontId="16" fillId="0" borderId="29" xfId="0" applyFont="1" applyBorder="1" applyAlignment="1">
      <alignment horizontal="center"/>
    </xf>
    <xf numFmtId="0" fontId="16" fillId="0" borderId="24" xfId="0" applyFont="1" applyBorder="1" applyAlignment="1">
      <alignment horizontal="center"/>
    </xf>
    <xf numFmtId="0" fontId="5" fillId="0" borderId="23" xfId="0" applyFont="1" applyBorder="1" applyAlignment="1">
      <alignment horizontal="center"/>
    </xf>
    <xf numFmtId="0" fontId="5" fillId="0" borderId="29" xfId="0" applyFont="1" applyBorder="1" applyAlignment="1">
      <alignment horizontal="center"/>
    </xf>
    <xf numFmtId="0" fontId="5" fillId="0" borderId="24" xfId="0" applyFont="1" applyBorder="1" applyAlignment="1">
      <alignment horizontal="center"/>
    </xf>
    <xf numFmtId="0" fontId="33" fillId="0" borderId="23" xfId="0" applyFont="1" applyBorder="1" applyAlignment="1">
      <alignment horizontal="center"/>
    </xf>
    <xf numFmtId="0" fontId="33" fillId="0" borderId="24" xfId="0" applyFont="1" applyBorder="1" applyAlignment="1">
      <alignment horizontal="center"/>
    </xf>
    <xf numFmtId="0" fontId="36" fillId="11" borderId="9" xfId="0" applyFont="1" applyFill="1" applyBorder="1" applyAlignment="1">
      <alignment horizontal="center"/>
    </xf>
    <xf numFmtId="0" fontId="11" fillId="11" borderId="9" xfId="0" applyFont="1" applyFill="1" applyBorder="1" applyAlignment="1">
      <alignment horizontal="center"/>
    </xf>
    <xf numFmtId="0" fontId="33" fillId="0" borderId="23" xfId="0" applyFont="1" applyFill="1" applyBorder="1" applyAlignment="1">
      <alignment horizontal="center"/>
    </xf>
    <xf numFmtId="0" fontId="33" fillId="0" borderId="24"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3" xfId="0" applyFont="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18" xfId="0" applyBorder="1" applyAlignment="1">
      <alignment horizontal="center"/>
    </xf>
    <xf numFmtId="0" fontId="5" fillId="0" borderId="9" xfId="0" applyFont="1" applyFill="1" applyBorder="1" applyAlignment="1">
      <alignment horizontal="center"/>
    </xf>
    <xf numFmtId="0" fontId="0" fillId="0" borderId="24" xfId="0" applyBorder="1" applyAlignment="1">
      <alignment horizontal="center"/>
    </xf>
    <xf numFmtId="0" fontId="0" fillId="0" borderId="29" xfId="0"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29" xfId="0"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Histograma y Polígono de Frecuencias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'C. Resultados'!$B$38:$B$50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'C. Resultados'!$E$38:$E$50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gapWidth val="0"/>
        <c:axId val="11445974"/>
        <c:axId val="35904903"/>
      </c:barChart>
      <c:catAx>
        <c:axId val="11445974"/>
        <c:scaling>
          <c:orientation val="minMax"/>
        </c:scaling>
        <c:axPos val="b"/>
        <c:title>
          <c:tx>
            <c:rich>
              <a:bodyPr vert="horz" rot="0" anchor="ctr"/>
              <a:lstStyle/>
              <a:p>
                <a:pPr algn="ctr">
                  <a:defRPr/>
                </a:pPr>
                <a:r>
                  <a:rPr lang="en-US" cap="none" sz="1075" b="1" i="0" u="none" baseline="0">
                    <a:latin typeface="Arial"/>
                    <a:ea typeface="Arial"/>
                    <a:cs typeface="Arial"/>
                  </a:rPr>
                  <a:t>Peso en Kilos</a:t>
                </a:r>
              </a:p>
            </c:rich>
          </c:tx>
          <c:layout/>
          <c:overlay val="0"/>
          <c:spPr>
            <a:noFill/>
            <a:ln>
              <a:noFill/>
            </a:ln>
          </c:spPr>
        </c:title>
        <c:delete val="0"/>
        <c:numFmt formatCode="0.00" sourceLinked="0"/>
        <c:majorTickMark val="out"/>
        <c:minorTickMark val="none"/>
        <c:tickLblPos val="nextTo"/>
        <c:txPr>
          <a:bodyPr/>
          <a:lstStyle/>
          <a:p>
            <a:pPr>
              <a:defRPr lang="en-US" cap="none" sz="975" b="1" i="0" u="none" baseline="0">
                <a:latin typeface="Arial"/>
                <a:ea typeface="Arial"/>
                <a:cs typeface="Arial"/>
              </a:defRPr>
            </a:pPr>
          </a:p>
        </c:txPr>
        <c:crossAx val="35904903"/>
        <c:crosses val="autoZero"/>
        <c:auto val="1"/>
        <c:lblOffset val="100"/>
        <c:noMultiLvlLbl val="0"/>
      </c:catAx>
      <c:valAx>
        <c:axId val="35904903"/>
        <c:scaling>
          <c:orientation val="minMax"/>
        </c:scaling>
        <c:axPos val="l"/>
        <c:title>
          <c:tx>
            <c:rich>
              <a:bodyPr vert="horz" rot="-5400000" anchor="ctr"/>
              <a:lstStyle/>
              <a:p>
                <a:pPr algn="ctr">
                  <a:defRPr/>
                </a:pPr>
                <a:r>
                  <a:rPr lang="en-US" cap="none" sz="1075" b="1" i="0" u="none" baseline="0">
                    <a:latin typeface="Arial"/>
                    <a:ea typeface="Arial"/>
                    <a:cs typeface="Arial"/>
                  </a:rPr>
                  <a:t>Frecuencia Relativa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1144597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Interacción de Posición.</a:t>
            </a:r>
          </a:p>
        </c:rich>
      </c:tx>
      <c:layout/>
      <c:spPr>
        <a:noFill/>
        <a:ln>
          <a:noFill/>
        </a:ln>
      </c:spPr>
    </c:title>
    <c:plotArea>
      <c:layout>
        <c:manualLayout>
          <c:xMode val="edge"/>
          <c:yMode val="edge"/>
          <c:x val="0.076"/>
          <c:y val="0.117"/>
          <c:w val="0.9005"/>
          <c:h val="0.70025"/>
        </c:manualLayout>
      </c:layout>
      <c:barChart>
        <c:barDir val="col"/>
        <c:grouping val="clustered"/>
        <c:varyColors val="0"/>
        <c:ser>
          <c:idx val="0"/>
          <c:order val="0"/>
          <c:tx>
            <c:strRef>
              <c:f>'C. Resultados'!$B$524</c:f>
              <c:strCache>
                <c:ptCount val="1"/>
                <c:pt idx="0">
                  <c:v>Deficiente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Resultados'!$A$525:$A$528</c:f>
              <c:strCache/>
            </c:strRef>
          </c:cat>
          <c:val>
            <c:numRef>
              <c:f>'C. Resultados'!$B$525:$B$528</c:f>
              <c:numCache>
                <c:ptCount val="4"/>
                <c:pt idx="0">
                  <c:v>0</c:v>
                </c:pt>
                <c:pt idx="1">
                  <c:v>0</c:v>
                </c:pt>
                <c:pt idx="2">
                  <c:v>0</c:v>
                </c:pt>
                <c:pt idx="3">
                  <c:v>0</c:v>
                </c:pt>
              </c:numCache>
            </c:numRef>
          </c:val>
        </c:ser>
        <c:ser>
          <c:idx val="1"/>
          <c:order val="1"/>
          <c:tx>
            <c:strRef>
              <c:f>'C. Resultados'!$C$524</c:f>
              <c:strCache>
                <c:ptCount val="1"/>
                <c:pt idx="0">
                  <c:v>Suficiente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Resultados'!$A$525:$A$528</c:f>
              <c:strCache/>
            </c:strRef>
          </c:cat>
          <c:val>
            <c:numRef>
              <c:f>'C. Resultados'!$C$525:$C$528</c:f>
              <c:numCache>
                <c:ptCount val="4"/>
                <c:pt idx="0">
                  <c:v>0</c:v>
                </c:pt>
                <c:pt idx="1">
                  <c:v>0</c:v>
                </c:pt>
                <c:pt idx="2">
                  <c:v>0</c:v>
                </c:pt>
                <c:pt idx="3">
                  <c:v>0</c:v>
                </c:pt>
              </c:numCache>
            </c:numRef>
          </c:val>
        </c:ser>
        <c:ser>
          <c:idx val="2"/>
          <c:order val="2"/>
          <c:tx>
            <c:strRef>
              <c:f>'C. Resultados'!$D$524</c:f>
              <c:strCache>
                <c:ptCount val="1"/>
                <c:pt idx="0">
                  <c:v>Eficiente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Resultados'!$A$525:$A$528</c:f>
              <c:strCache/>
            </c:strRef>
          </c:cat>
          <c:val>
            <c:numRef>
              <c:f>'C. Resultados'!$D$525:$D$528</c:f>
              <c:numCache>
                <c:ptCount val="4"/>
                <c:pt idx="0">
                  <c:v>0</c:v>
                </c:pt>
                <c:pt idx="1">
                  <c:v>0</c:v>
                </c:pt>
                <c:pt idx="2">
                  <c:v>0</c:v>
                </c:pt>
                <c:pt idx="3">
                  <c:v>0</c:v>
                </c:pt>
              </c:numCache>
            </c:numRef>
          </c:val>
        </c:ser>
        <c:axId val="38269328"/>
        <c:axId val="8879633"/>
      </c:barChart>
      <c:catAx>
        <c:axId val="38269328"/>
        <c:scaling>
          <c:orientation val="minMax"/>
        </c:scaling>
        <c:axPos val="b"/>
        <c:title>
          <c:tx>
            <c:rich>
              <a:bodyPr vert="horz" rot="0" anchor="ctr"/>
              <a:lstStyle/>
              <a:p>
                <a:pPr algn="ctr">
                  <a:defRPr/>
                </a:pPr>
                <a:r>
                  <a:rPr lang="en-US" cap="none" sz="825" b="1" i="0" u="none" baseline="0">
                    <a:latin typeface="Arial"/>
                    <a:ea typeface="Arial"/>
                    <a:cs typeface="Arial"/>
                  </a:rPr>
                  <a:t>N. Ecinómico</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8879633"/>
        <c:crosses val="autoZero"/>
        <c:auto val="1"/>
        <c:lblOffset val="100"/>
        <c:noMultiLvlLbl val="0"/>
      </c:catAx>
      <c:valAx>
        <c:axId val="8879633"/>
        <c:scaling>
          <c:orientation val="minMax"/>
        </c:scaling>
        <c:axPos val="l"/>
        <c:title>
          <c:tx>
            <c:rich>
              <a:bodyPr vert="horz" rot="-5400000" anchor="ctr"/>
              <a:lstStyle/>
              <a:p>
                <a:pPr algn="ctr">
                  <a:defRPr/>
                </a:pPr>
                <a:r>
                  <a:rPr lang="en-US" cap="none" sz="825" b="1" i="0" u="none" baseline="0">
                    <a:latin typeface="Arial"/>
                    <a:ea typeface="Arial"/>
                    <a:cs typeface="Arial"/>
                  </a:rPr>
                  <a:t>Porcentajes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8269328"/>
        <c:crossesAt val="1"/>
        <c:crossBetween val="between"/>
        <c:dispUnits/>
      </c:valAx>
      <c:spPr>
        <a:solidFill>
          <a:srgbClr val="C0C0C0"/>
        </a:solidFill>
        <a:ln w="12700">
          <a:solidFill>
            <a:srgbClr val="808080"/>
          </a:solidFill>
        </a:ln>
      </c:spPr>
    </c:plotArea>
    <c:legend>
      <c:legendPos val="b"/>
      <c:layout>
        <c:manualLayout>
          <c:xMode val="edge"/>
          <c:yMode val="edge"/>
          <c:x val="0.32075"/>
          <c:y val="0.918"/>
        </c:manualLayout>
      </c:layout>
      <c:overlay val="0"/>
      <c:txPr>
        <a:bodyPr vert="horz" rot="0"/>
        <a:lstStyle/>
        <a:p>
          <a:pPr>
            <a:defRPr lang="en-US" cap="none" sz="825" b="1"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Interacción de Dirección</a:t>
            </a:r>
          </a:p>
        </c:rich>
      </c:tx>
      <c:layout/>
      <c:spPr>
        <a:noFill/>
        <a:ln>
          <a:noFill/>
        </a:ln>
      </c:spPr>
    </c:title>
    <c:plotArea>
      <c:layout/>
      <c:barChart>
        <c:barDir val="col"/>
        <c:grouping val="clustered"/>
        <c:varyColors val="0"/>
        <c:ser>
          <c:idx val="0"/>
          <c:order val="0"/>
          <c:tx>
            <c:strRef>
              <c:f>'C. Resultados'!$A$566</c:f>
              <c:strCache>
                <c:ptCount val="1"/>
                <c:pt idx="0">
                  <c:v>H. Def.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Resultados'!$B$565:$D$565</c:f>
              <c:strCache/>
            </c:strRef>
          </c:cat>
          <c:val>
            <c:numRef>
              <c:f>'C. Resultados'!$B$566:$B$568</c:f>
              <c:numCache>
                <c:ptCount val="3"/>
                <c:pt idx="0">
                  <c:v>0</c:v>
                </c:pt>
                <c:pt idx="1">
                  <c:v>0</c:v>
                </c:pt>
                <c:pt idx="2">
                  <c:v>0</c:v>
                </c:pt>
              </c:numCache>
            </c:numRef>
          </c:val>
        </c:ser>
        <c:ser>
          <c:idx val="1"/>
          <c:order val="1"/>
          <c:tx>
            <c:strRef>
              <c:f>'C. Resultados'!$A$567</c:f>
              <c:strCache>
                <c:ptCount val="1"/>
                <c:pt idx="0">
                  <c:v>H. Suf.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Resultados'!$B$565:$D$565</c:f>
              <c:strCache/>
            </c:strRef>
          </c:cat>
          <c:val>
            <c:numRef>
              <c:f>'C. Resultados'!$C$566:$C$568</c:f>
              <c:numCache>
                <c:ptCount val="3"/>
                <c:pt idx="0">
                  <c:v>0</c:v>
                </c:pt>
                <c:pt idx="1">
                  <c:v>0</c:v>
                </c:pt>
                <c:pt idx="2">
                  <c:v>0</c:v>
                </c:pt>
              </c:numCache>
            </c:numRef>
          </c:val>
        </c:ser>
        <c:ser>
          <c:idx val="2"/>
          <c:order val="2"/>
          <c:tx>
            <c:strRef>
              <c:f>'C. Resultados'!$A$568</c:f>
              <c:strCache>
                <c:ptCount val="1"/>
                <c:pt idx="0">
                  <c:v>H. Efi.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Resultados'!$B$565:$D$565</c:f>
              <c:strCache/>
            </c:strRef>
          </c:cat>
          <c:val>
            <c:numRef>
              <c:f>'C. Resultados'!$D$566:$D$568</c:f>
              <c:numCache>
                <c:ptCount val="3"/>
                <c:pt idx="0">
                  <c:v>0</c:v>
                </c:pt>
                <c:pt idx="1">
                  <c:v>0</c:v>
                </c:pt>
                <c:pt idx="2">
                  <c:v>0</c:v>
                </c:pt>
              </c:numCache>
            </c:numRef>
          </c:val>
        </c:ser>
        <c:axId val="12807834"/>
        <c:axId val="48161643"/>
      </c:barChart>
      <c:catAx>
        <c:axId val="12807834"/>
        <c:scaling>
          <c:orientation val="minMax"/>
        </c:scaling>
        <c:axPos val="b"/>
        <c:title>
          <c:tx>
            <c:rich>
              <a:bodyPr vert="horz" rot="0" anchor="ctr"/>
              <a:lstStyle/>
              <a:p>
                <a:pPr algn="ctr">
                  <a:defRPr/>
                </a:pPr>
                <a:r>
                  <a:rPr lang="en-US" cap="none" sz="1150" b="1" i="0" u="none" baseline="0">
                    <a:latin typeface="Arial"/>
                    <a:ea typeface="Arial"/>
                    <a:cs typeface="Arial"/>
                  </a:rPr>
                  <a:t>Hábitos Nutricionales</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8161643"/>
        <c:crosses val="autoZero"/>
        <c:auto val="1"/>
        <c:lblOffset val="100"/>
        <c:noMultiLvlLbl val="0"/>
      </c:catAx>
      <c:valAx>
        <c:axId val="48161643"/>
        <c:scaling>
          <c:orientation val="minMax"/>
        </c:scaling>
        <c:axPos val="l"/>
        <c:title>
          <c:tx>
            <c:rich>
              <a:bodyPr vert="horz" rot="-5400000" anchor="ctr"/>
              <a:lstStyle/>
              <a:p>
                <a:pPr algn="ctr">
                  <a:defRPr/>
                </a:pPr>
                <a:r>
                  <a:rPr lang="en-US" cap="none" sz="1150" b="1" i="0" u="none" baseline="0">
                    <a:latin typeface="Arial"/>
                    <a:ea typeface="Arial"/>
                    <a:cs typeface="Arial"/>
                  </a:rPr>
                  <a:t>Porcenajes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807834"/>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Peso estimado por nivel</a:t>
            </a:r>
          </a:p>
        </c:rich>
      </c:tx>
      <c:layout/>
      <c:spPr>
        <a:noFill/>
        <a:ln>
          <a:noFill/>
        </a:ln>
      </c:spPr>
    </c:title>
    <c:view3D>
      <c:rotX val="15"/>
      <c:rotY val="20"/>
      <c:depthPercent val="100"/>
      <c:rAngAx val="1"/>
    </c:view3D>
    <c:plotArea>
      <c:layout/>
      <c:bar3DChart>
        <c:barDir val="bar"/>
        <c:grouping val="clustered"/>
        <c:varyColors val="0"/>
        <c:ser>
          <c:idx val="0"/>
          <c:order val="0"/>
          <c:tx>
            <c:strRef>
              <c:f>'C. Resultados'!$C$723</c:f>
              <c:strCache>
                <c:ptCount val="1"/>
                <c:pt idx="0">
                  <c:v>Estimado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Resultados'!$A$724:$A$727</c:f>
              <c:strCache/>
            </c:strRef>
          </c:cat>
          <c:val>
            <c:numRef>
              <c:f>'C. Resultados'!$C$724:$C$727</c:f>
              <c:numCache>
                <c:ptCount val="4"/>
                <c:pt idx="0">
                  <c:v>0</c:v>
                </c:pt>
                <c:pt idx="1">
                  <c:v>0</c:v>
                </c:pt>
                <c:pt idx="2">
                  <c:v>0</c:v>
                </c:pt>
                <c:pt idx="3">
                  <c:v>0</c:v>
                </c:pt>
              </c:numCache>
            </c:numRef>
          </c:val>
          <c:shape val="box"/>
        </c:ser>
        <c:shape val="box"/>
        <c:axId val="30801604"/>
        <c:axId val="8778981"/>
      </c:bar3DChart>
      <c:catAx>
        <c:axId val="30801604"/>
        <c:scaling>
          <c:orientation val="minMax"/>
        </c:scaling>
        <c:axPos val="l"/>
        <c:title>
          <c:tx>
            <c:rich>
              <a:bodyPr vert="horz" rot="-5400000" anchor="ctr"/>
              <a:lstStyle/>
              <a:p>
                <a:pPr algn="ctr">
                  <a:defRPr/>
                </a:pPr>
                <a:r>
                  <a:rPr lang="en-US" cap="none" sz="925" b="1" i="0" u="none" baseline="0">
                    <a:latin typeface="Arial"/>
                    <a:ea typeface="Arial"/>
                    <a:cs typeface="Arial"/>
                  </a:rPr>
                  <a:t>Nivel económico</a:t>
                </a:r>
              </a:p>
            </c:rich>
          </c:tx>
          <c:layout/>
          <c:overlay val="0"/>
          <c:spPr>
            <a:noFill/>
            <a:ln>
              <a:noFill/>
            </a:ln>
          </c:spPr>
        </c:title>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8778981"/>
        <c:crosses val="autoZero"/>
        <c:auto val="1"/>
        <c:lblOffset val="100"/>
        <c:noMultiLvlLbl val="0"/>
      </c:catAx>
      <c:valAx>
        <c:axId val="8778981"/>
        <c:scaling>
          <c:orientation val="minMax"/>
        </c:scaling>
        <c:axPos val="b"/>
        <c:title>
          <c:tx>
            <c:rich>
              <a:bodyPr vert="horz" rot="0" anchor="ctr"/>
              <a:lstStyle/>
              <a:p>
                <a:pPr algn="ctr">
                  <a:defRPr/>
                </a:pPr>
                <a:r>
                  <a:rPr lang="en-US" cap="none" sz="925" b="1" i="0" u="none" baseline="0">
                    <a:latin typeface="Arial"/>
                    <a:ea typeface="Arial"/>
                    <a:cs typeface="Arial"/>
                  </a:rPr>
                  <a:t>Peso en kilos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0801604"/>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Comparando Frecuencias Acumulativas</a:t>
            </a:r>
          </a:p>
        </c:rich>
      </c:tx>
      <c:layout/>
      <c:spPr>
        <a:noFill/>
        <a:ln>
          <a:noFill/>
        </a:ln>
      </c:spPr>
    </c:title>
    <c:plotArea>
      <c:layout/>
      <c:lineChart>
        <c:grouping val="standard"/>
        <c:varyColors val="0"/>
        <c:ser>
          <c:idx val="0"/>
          <c:order val="0"/>
          <c:tx>
            <c:strRef>
              <c:f>'C. Resultados'!$F$103</c:f>
              <c:strCache>
                <c:ptCount val="1"/>
                <c:pt idx="0">
                  <c:v>Esperadas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'C. Resultados'!$A$82:$A$94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 Resultados'!$G$106:$G$117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ser>
        <c:ser>
          <c:idx val="1"/>
          <c:order val="1"/>
          <c:tx>
            <c:strRef>
              <c:f>'C. Resultados'!$G$103</c:f>
              <c:strCache>
                <c:ptCount val="1"/>
                <c:pt idx="0">
                  <c:v>Observadas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 Resultados'!$A$82:$A$94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 Resultados'!$E$106:$E$117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ser>
        <c:axId val="54708672"/>
        <c:axId val="22616001"/>
      </c:lineChart>
      <c:catAx>
        <c:axId val="54708672"/>
        <c:scaling>
          <c:orientation val="minMax"/>
        </c:scaling>
        <c:axPos val="b"/>
        <c:title>
          <c:tx>
            <c:rich>
              <a:bodyPr vert="horz" rot="0" anchor="ctr"/>
              <a:lstStyle/>
              <a:p>
                <a:pPr algn="ctr">
                  <a:defRPr/>
                </a:pPr>
                <a:r>
                  <a:rPr lang="en-US" cap="none" sz="1000" b="1" i="0" u="none" baseline="0">
                    <a:latin typeface="Arial"/>
                    <a:ea typeface="Arial"/>
                    <a:cs typeface="Arial"/>
                  </a:rPr>
                  <a:t>Kilos</a:t>
                </a:r>
              </a:p>
            </c:rich>
          </c:tx>
          <c:layout/>
          <c:overlay val="0"/>
          <c:spPr>
            <a:noFill/>
            <a:ln>
              <a:noFill/>
            </a:ln>
          </c:spPr>
        </c:title>
        <c:delete val="0"/>
        <c:numFmt formatCode="0.00" sourceLinked="0"/>
        <c:majorTickMark val="in"/>
        <c:minorTickMark val="none"/>
        <c:tickLblPos val="nextTo"/>
        <c:txPr>
          <a:bodyPr/>
          <a:lstStyle/>
          <a:p>
            <a:pPr>
              <a:defRPr lang="en-US" cap="none" sz="800" b="1" i="0" u="none" baseline="0">
                <a:latin typeface="Arial"/>
                <a:ea typeface="Arial"/>
                <a:cs typeface="Arial"/>
              </a:defRPr>
            </a:pPr>
          </a:p>
        </c:txPr>
        <c:crossAx val="22616001"/>
        <c:crosses val="autoZero"/>
        <c:auto val="0"/>
        <c:lblOffset val="100"/>
        <c:noMultiLvlLbl val="0"/>
      </c:catAx>
      <c:valAx>
        <c:axId val="22616001"/>
        <c:scaling>
          <c:orientation val="minMax"/>
          <c:max val="1"/>
        </c:scaling>
        <c:axPos val="l"/>
        <c:title>
          <c:tx>
            <c:rich>
              <a:bodyPr vert="horz" rot="-5400000" anchor="ctr"/>
              <a:lstStyle/>
              <a:p>
                <a:pPr algn="ctr">
                  <a:defRPr/>
                </a:pPr>
                <a:r>
                  <a:rPr lang="en-US" cap="none" sz="1000" b="1" i="0" u="none" baseline="0">
                    <a:latin typeface="Arial"/>
                    <a:ea typeface="Arial"/>
                    <a:cs typeface="Arial"/>
                  </a:rPr>
                  <a:t>Probabilidades</a:t>
                </a:r>
              </a:p>
            </c:rich>
          </c:tx>
          <c:layout/>
          <c:overlay val="0"/>
          <c:spPr>
            <a:noFill/>
            <a:ln>
              <a:noFill/>
            </a:ln>
          </c:spPr>
        </c:title>
        <c:delete val="0"/>
        <c:numFmt formatCode="#,##0.00" sourceLinked="0"/>
        <c:majorTickMark val="in"/>
        <c:minorTickMark val="none"/>
        <c:tickLblPos val="nextTo"/>
        <c:txPr>
          <a:bodyPr/>
          <a:lstStyle/>
          <a:p>
            <a:pPr>
              <a:defRPr lang="en-US" cap="none" sz="900" b="1" i="0" u="none" baseline="0">
                <a:latin typeface="Arial"/>
                <a:ea typeface="Arial"/>
                <a:cs typeface="Arial"/>
              </a:defRPr>
            </a:pPr>
          </a:p>
        </c:txPr>
        <c:crossAx val="54708672"/>
        <c:crossesAt val="1"/>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Distribuciones absolutas</a:t>
            </a:r>
          </a:p>
        </c:rich>
      </c:tx>
      <c:layout/>
      <c:spPr>
        <a:noFill/>
        <a:ln>
          <a:noFill/>
        </a:ln>
      </c:spPr>
    </c:title>
    <c:plotArea>
      <c:layout/>
      <c:lineChart>
        <c:grouping val="standard"/>
        <c:varyColors val="0"/>
        <c:ser>
          <c:idx val="0"/>
          <c:order val="0"/>
          <c:tx>
            <c:strRef>
              <c:f>'C. Resultados'!$G$103</c:f>
              <c:strCache>
                <c:ptCount val="1"/>
                <c:pt idx="0">
                  <c:v>Observadas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 Resultados'!$B$106:$B$117</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 Resultados'!$C$106:$C$117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'C. Resultados'!$F$103</c:f>
              <c:strCache>
                <c:ptCount val="1"/>
                <c:pt idx="0">
                  <c:v>Esperadas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 Resultados'!$B$106:$B$117</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'C. Resultados'!$I$106:$I$117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217418"/>
        <c:axId val="19956763"/>
      </c:lineChart>
      <c:catAx>
        <c:axId val="2217418"/>
        <c:scaling>
          <c:orientation val="minMax"/>
        </c:scaling>
        <c:axPos val="b"/>
        <c:title>
          <c:tx>
            <c:rich>
              <a:bodyPr vert="horz" rot="0" anchor="ctr"/>
              <a:lstStyle/>
              <a:p>
                <a:pPr algn="ctr">
                  <a:defRPr/>
                </a:pPr>
                <a:r>
                  <a:rPr lang="en-US" cap="none" sz="925" b="1" i="0" u="none" baseline="0">
                    <a:latin typeface="Arial"/>
                    <a:ea typeface="Arial"/>
                    <a:cs typeface="Arial"/>
                  </a:rPr>
                  <a:t>Peso en kilos</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9956763"/>
        <c:crosses val="autoZero"/>
        <c:auto val="1"/>
        <c:lblOffset val="100"/>
        <c:noMultiLvlLbl val="0"/>
      </c:catAx>
      <c:valAx>
        <c:axId val="19956763"/>
        <c:scaling>
          <c:orientation val="minMax"/>
        </c:scaling>
        <c:axPos val="l"/>
        <c:title>
          <c:tx>
            <c:rich>
              <a:bodyPr vert="horz" rot="-5400000" anchor="ctr"/>
              <a:lstStyle/>
              <a:p>
                <a:pPr algn="ctr">
                  <a:defRPr/>
                </a:pPr>
                <a:r>
                  <a:rPr lang="en-US" cap="none" sz="925" b="1" i="0" u="none" baseline="0">
                    <a:latin typeface="Arial"/>
                    <a:ea typeface="Arial"/>
                    <a:cs typeface="Arial"/>
                  </a:rPr>
                  <a:t>Frecuencia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217418"/>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925" b="1"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Histograma de una variable discreta</a:t>
            </a:r>
          </a:p>
        </c:rich>
      </c:tx>
      <c:layout/>
      <c:spPr>
        <a:noFill/>
        <a:ln>
          <a:noFill/>
        </a:ln>
      </c:spPr>
    </c:title>
    <c:plotArea>
      <c:layout>
        <c:manualLayout>
          <c:xMode val="edge"/>
          <c:yMode val="edge"/>
          <c:x val="0.10175"/>
          <c:y val="0.15275"/>
          <c:w val="0.8735"/>
          <c:h val="0.7137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'C. Resultados'!$A$198:$A$204</c:f>
              <c:numCache>
                <c:ptCount val="7"/>
                <c:pt idx="0">
                  <c:v>0</c:v>
                </c:pt>
                <c:pt idx="1">
                  <c:v>0</c:v>
                </c:pt>
                <c:pt idx="2">
                  <c:v>0</c:v>
                </c:pt>
                <c:pt idx="3">
                  <c:v>0</c:v>
                </c:pt>
                <c:pt idx="4">
                  <c:v>0</c:v>
                </c:pt>
                <c:pt idx="5">
                  <c:v>0</c:v>
                </c:pt>
                <c:pt idx="6">
                  <c:v>0</c:v>
                </c:pt>
              </c:numCache>
            </c:numRef>
          </c:cat>
          <c:val>
            <c:numRef>
              <c:f>'C. Resultados'!$C$198:$C$204</c:f>
              <c:numCache>
                <c:ptCount val="7"/>
                <c:pt idx="0">
                  <c:v>0</c:v>
                </c:pt>
                <c:pt idx="1">
                  <c:v>0</c:v>
                </c:pt>
                <c:pt idx="2">
                  <c:v>0</c:v>
                </c:pt>
                <c:pt idx="3">
                  <c:v>0</c:v>
                </c:pt>
                <c:pt idx="4">
                  <c:v>0</c:v>
                </c:pt>
                <c:pt idx="5">
                  <c:v>0</c:v>
                </c:pt>
                <c:pt idx="6">
                  <c:v>0</c:v>
                </c:pt>
              </c:numCache>
            </c:numRef>
          </c:val>
        </c:ser>
        <c:axId val="45393140"/>
        <c:axId val="5885077"/>
      </c:barChart>
      <c:catAx>
        <c:axId val="45393140"/>
        <c:scaling>
          <c:orientation val="minMax"/>
        </c:scaling>
        <c:axPos val="b"/>
        <c:title>
          <c:tx>
            <c:rich>
              <a:bodyPr vert="horz" rot="0" anchor="ctr"/>
              <a:lstStyle/>
              <a:p>
                <a:pPr algn="ctr">
                  <a:defRPr/>
                </a:pPr>
                <a:r>
                  <a:rPr lang="en-US" cap="none" sz="1100" b="1" i="0" u="none" baseline="0">
                    <a:latin typeface="Arial"/>
                    <a:ea typeface="Arial"/>
                    <a:cs typeface="Arial"/>
                  </a:rPr>
                  <a:t>Talla en centímetros</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885077"/>
        <c:crosses val="autoZero"/>
        <c:auto val="1"/>
        <c:lblOffset val="100"/>
        <c:noMultiLvlLbl val="0"/>
      </c:catAx>
      <c:valAx>
        <c:axId val="5885077"/>
        <c:scaling>
          <c:orientation val="minMax"/>
        </c:scaling>
        <c:axPos val="l"/>
        <c:title>
          <c:tx>
            <c:rich>
              <a:bodyPr vert="horz" rot="-5400000" anchor="ctr"/>
              <a:lstStyle/>
              <a:p>
                <a:pPr algn="ctr">
                  <a:defRPr/>
                </a:pPr>
                <a:r>
                  <a:rPr lang="en-US" cap="none" sz="1100" b="1" i="0" u="none" baseline="0">
                    <a:latin typeface="Arial"/>
                    <a:ea typeface="Arial"/>
                    <a:cs typeface="Arial"/>
                  </a:rPr>
                  <a:t>Porcentaje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539314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Nivel Económico Encuestado</a:t>
            </a:r>
          </a:p>
        </c:rich>
      </c:tx>
      <c:layout/>
      <c:spPr>
        <a:noFill/>
        <a:ln>
          <a:noFill/>
        </a:ln>
      </c:spPr>
    </c:title>
    <c:view3D>
      <c:rotX val="15"/>
      <c:hPercent val="100"/>
      <c:rotY val="0"/>
      <c:depthPercent val="100"/>
      <c:rAngAx val="1"/>
    </c:view3D>
    <c:plotArea>
      <c:layout>
        <c:manualLayout>
          <c:xMode val="edge"/>
          <c:yMode val="edge"/>
          <c:x val="0.06325"/>
          <c:y val="0.21175"/>
          <c:w val="0.89025"/>
          <c:h val="0.582"/>
        </c:manualLayout>
      </c:layout>
      <c:pie3DChart>
        <c:varyColors val="1"/>
        <c:ser>
          <c:idx val="0"/>
          <c:order val="0"/>
          <c:explosion val="32"/>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100"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1"/>
          </c:dLbls>
          <c:cat>
            <c:strRef>
              <c:f>'C. Resultados'!$A$474:$A$477</c:f>
              <c:strCache/>
            </c:strRef>
          </c:cat>
          <c:val>
            <c:numRef>
              <c:f>'C. Resultados'!$E$474:$E$477</c:f>
              <c:numCache>
                <c:ptCount val="4"/>
                <c:pt idx="0">
                  <c:v>0</c:v>
                </c:pt>
                <c:pt idx="1">
                  <c:v>0</c:v>
                </c:pt>
                <c:pt idx="2">
                  <c:v>0</c:v>
                </c:pt>
                <c:pt idx="3">
                  <c:v>0</c:v>
                </c:pt>
              </c:numCache>
            </c:numRef>
          </c:val>
        </c:ser>
      </c:pie3DChart>
      <c:spPr>
        <a:noFill/>
        <a:ln>
          <a:noFill/>
        </a:ln>
      </c:spPr>
    </c:plotArea>
    <c:legend>
      <c:legendPos val="b"/>
      <c:layout>
        <c:manualLayout>
          <c:xMode val="edge"/>
          <c:yMode val="edge"/>
          <c:x val="0.411"/>
          <c:y val="0.9075"/>
        </c:manualLayout>
      </c:layout>
      <c:overlay val="0"/>
      <c:txPr>
        <a:bodyPr vert="horz" rot="0"/>
        <a:lstStyle/>
        <a:p>
          <a:pPr>
            <a:defRPr lang="en-US" cap="none" sz="800" b="1" i="0" u="none" baseline="0">
              <a:latin typeface="Arial"/>
              <a:ea typeface="Arial"/>
              <a:cs typeface="Arial"/>
            </a:defRPr>
          </a:pPr>
        </a:p>
      </c:txPr>
    </c:legend>
    <c:sideWall>
      <c:thickness val="0"/>
    </c:sideWall>
    <c:backWall>
      <c:thickness val="0"/>
    </c:backWall>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Hábios Higiénicos</a:t>
            </a:r>
          </a:p>
        </c:rich>
      </c:tx>
      <c:layout/>
      <c:spPr>
        <a:noFill/>
        <a:ln>
          <a:noFill/>
        </a:ln>
      </c:spPr>
    </c:title>
    <c:view3D>
      <c:rotX val="15"/>
      <c:rotY val="20"/>
      <c:depthPercent val="100"/>
      <c:rAngAx val="1"/>
    </c:view3D>
    <c:plotArea>
      <c:layout/>
      <c:bar3D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 Resultados'!$B$483:$D$483</c:f>
              <c:strCache/>
            </c:strRef>
          </c:cat>
          <c:val>
            <c:numRef>
              <c:f>'C. Resultados'!$B$488:$D$488</c:f>
              <c:numCache>
                <c:ptCount val="3"/>
                <c:pt idx="0">
                  <c:v>0</c:v>
                </c:pt>
                <c:pt idx="1">
                  <c:v>0</c:v>
                </c:pt>
                <c:pt idx="2">
                  <c:v>0</c:v>
                </c:pt>
              </c:numCache>
            </c:numRef>
          </c:val>
          <c:shape val="box"/>
        </c:ser>
        <c:gapWidth val="70"/>
        <c:shape val="box"/>
        <c:axId val="52965694"/>
        <c:axId val="6929199"/>
      </c:bar3DChart>
      <c:catAx>
        <c:axId val="52965694"/>
        <c:scaling>
          <c:orientation val="minMax"/>
        </c:scaling>
        <c:axPos val="l"/>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6929199"/>
        <c:crosses val="autoZero"/>
        <c:auto val="1"/>
        <c:lblOffset val="100"/>
        <c:noMultiLvlLbl val="0"/>
      </c:catAx>
      <c:valAx>
        <c:axId val="6929199"/>
        <c:scaling>
          <c:orientation val="minMax"/>
        </c:scaling>
        <c:axPos val="b"/>
        <c:title>
          <c:tx>
            <c:rich>
              <a:bodyPr vert="horz" rot="0" anchor="ctr"/>
              <a:lstStyle/>
              <a:p>
                <a:pPr algn="ctr">
                  <a:defRPr/>
                </a:pPr>
                <a:r>
                  <a:rPr lang="en-US" cap="none" sz="1000" b="1" i="0" u="none" baseline="0">
                    <a:latin typeface="Arial"/>
                    <a:ea typeface="Arial"/>
                    <a:cs typeface="Arial"/>
                  </a:rPr>
                  <a:t>Porcentajes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2965694"/>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Nivel con Hábitos Nutricionales %</a:t>
            </a:r>
          </a:p>
        </c:rich>
      </c:tx>
      <c:layout/>
      <c:spPr>
        <a:noFill/>
        <a:ln>
          <a:noFill/>
        </a:ln>
      </c:spPr>
    </c:title>
    <c:view3D>
      <c:rotX val="31"/>
      <c:rotY val="30"/>
      <c:depthPercent val="100"/>
      <c:rAngAx val="0"/>
      <c:perspective val="30"/>
    </c:view3D>
    <c:plotArea>
      <c:layout/>
      <c:bar3DChart>
        <c:barDir val="col"/>
        <c:grouping val="standard"/>
        <c:varyColors val="0"/>
        <c:ser>
          <c:idx val="0"/>
          <c:order val="0"/>
          <c:tx>
            <c:strRef>
              <c:f>'C. Resultados'!$B$524</c:f>
              <c:strCache>
                <c:ptCount val="1"/>
                <c:pt idx="0">
                  <c:v>Deficiente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Resultados'!$A$525:$A$528</c:f>
              <c:strCache/>
            </c:strRef>
          </c:cat>
          <c:val>
            <c:numRef>
              <c:f>'C. Resultados'!$B$525:$B$528</c:f>
              <c:numCache>
                <c:ptCount val="4"/>
                <c:pt idx="0">
                  <c:v>0</c:v>
                </c:pt>
                <c:pt idx="1">
                  <c:v>0</c:v>
                </c:pt>
                <c:pt idx="2">
                  <c:v>0</c:v>
                </c:pt>
                <c:pt idx="3">
                  <c:v>0</c:v>
                </c:pt>
              </c:numCache>
            </c:numRef>
          </c:val>
          <c:shape val="box"/>
        </c:ser>
        <c:ser>
          <c:idx val="1"/>
          <c:order val="1"/>
          <c:tx>
            <c:strRef>
              <c:f>'C. Resultados'!$C$524</c:f>
              <c:strCache>
                <c:ptCount val="1"/>
                <c:pt idx="0">
                  <c:v>Suficiente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Resultados'!$A$525:$A$528</c:f>
              <c:strCache/>
            </c:strRef>
          </c:cat>
          <c:val>
            <c:numRef>
              <c:f>'C. Resultados'!$C$525:$C$528</c:f>
              <c:numCache>
                <c:ptCount val="4"/>
                <c:pt idx="0">
                  <c:v>0</c:v>
                </c:pt>
                <c:pt idx="1">
                  <c:v>0</c:v>
                </c:pt>
                <c:pt idx="2">
                  <c:v>0</c:v>
                </c:pt>
                <c:pt idx="3">
                  <c:v>0</c:v>
                </c:pt>
              </c:numCache>
            </c:numRef>
          </c:val>
          <c:shape val="box"/>
        </c:ser>
        <c:ser>
          <c:idx val="2"/>
          <c:order val="2"/>
          <c:tx>
            <c:strRef>
              <c:f>'C. Resultados'!$D$524</c:f>
              <c:strCache>
                <c:ptCount val="1"/>
                <c:pt idx="0">
                  <c:v>Eficiente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Resultados'!$A$525:$A$528</c:f>
              <c:strCache/>
            </c:strRef>
          </c:cat>
          <c:val>
            <c:numRef>
              <c:f>'C. Resultados'!$D$525:$D$528</c:f>
              <c:numCache>
                <c:ptCount val="4"/>
                <c:pt idx="0">
                  <c:v>0</c:v>
                </c:pt>
                <c:pt idx="1">
                  <c:v>0</c:v>
                </c:pt>
                <c:pt idx="2">
                  <c:v>0</c:v>
                </c:pt>
                <c:pt idx="3">
                  <c:v>0</c:v>
                </c:pt>
              </c:numCache>
            </c:numRef>
          </c:val>
          <c:shape val="box"/>
        </c:ser>
        <c:shape val="box"/>
        <c:axId val="62362792"/>
        <c:axId val="24394217"/>
        <c:axId val="18221362"/>
      </c:bar3DChart>
      <c:catAx>
        <c:axId val="62362792"/>
        <c:scaling>
          <c:orientation val="minMax"/>
        </c:scaling>
        <c:axPos val="b"/>
        <c:title>
          <c:tx>
            <c:rich>
              <a:bodyPr vert="horz" rot="0" anchor="ctr"/>
              <a:lstStyle/>
              <a:p>
                <a:pPr algn="ctr">
                  <a:defRPr/>
                </a:pPr>
                <a:r>
                  <a:rPr lang="en-US" cap="none" sz="800" b="1" i="0" u="none" baseline="0">
                    <a:latin typeface="Arial"/>
                    <a:ea typeface="Arial"/>
                    <a:cs typeface="Arial"/>
                  </a:rPr>
                  <a:t>Nivel Económico</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4394217"/>
        <c:crosses val="autoZero"/>
        <c:auto val="1"/>
        <c:lblOffset val="100"/>
        <c:noMultiLvlLbl val="0"/>
      </c:catAx>
      <c:valAx>
        <c:axId val="24394217"/>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362792"/>
        <c:crossesAt val="1"/>
        <c:crossBetween val="between"/>
        <c:dispUnits/>
      </c:valAx>
      <c:serAx>
        <c:axId val="18221362"/>
        <c:scaling>
          <c:orientation val="minMax"/>
        </c:scaling>
        <c:axPos val="b"/>
        <c:title>
          <c:tx>
            <c:rich>
              <a:bodyPr vert="horz" rot="0" anchor="ctr"/>
              <a:lstStyle/>
              <a:p>
                <a:pPr algn="ctr">
                  <a:defRPr/>
                </a:pPr>
                <a:r>
                  <a:rPr lang="en-US" cap="none" sz="800" b="1" i="0" u="none" baseline="0">
                    <a:latin typeface="Arial"/>
                    <a:ea typeface="Arial"/>
                    <a:cs typeface="Arial"/>
                  </a:rPr>
                  <a:t>H.Nutricionales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4394217"/>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Hábitos Nigiénicos y Nutricionales en Porcentajes</a:t>
            </a:r>
          </a:p>
        </c:rich>
      </c:tx>
      <c:layout/>
      <c:spPr>
        <a:noFill/>
        <a:ln>
          <a:noFill/>
        </a:ln>
      </c:spPr>
    </c:title>
    <c:view3D>
      <c:rotX val="15"/>
      <c:rotY val="20"/>
      <c:depthPercent val="100"/>
      <c:rAngAx val="0"/>
      <c:perspective val="30"/>
    </c:view3D>
    <c:plotArea>
      <c:layout>
        <c:manualLayout>
          <c:xMode val="edge"/>
          <c:yMode val="edge"/>
          <c:x val="0.0395"/>
          <c:y val="0.19675"/>
          <c:w val="0.9275"/>
          <c:h val="0.76975"/>
        </c:manualLayout>
      </c:layout>
      <c:bar3DChart>
        <c:barDir val="col"/>
        <c:grouping val="standard"/>
        <c:varyColors val="0"/>
        <c:ser>
          <c:idx val="0"/>
          <c:order val="0"/>
          <c:tx>
            <c:strRef>
              <c:f>'C. Resultados'!$A$566</c:f>
              <c:strCache>
                <c:ptCount val="1"/>
                <c:pt idx="0">
                  <c:v>H. Def.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Resultados'!$B$565:$D$565</c:f>
              <c:strCache/>
            </c:strRef>
          </c:cat>
          <c:val>
            <c:numRef>
              <c:f>'C. Resultados'!$B$566:$D$566</c:f>
              <c:numCache>
                <c:ptCount val="3"/>
                <c:pt idx="0">
                  <c:v>0</c:v>
                </c:pt>
                <c:pt idx="1">
                  <c:v>0</c:v>
                </c:pt>
                <c:pt idx="2">
                  <c:v>0</c:v>
                </c:pt>
              </c:numCache>
            </c:numRef>
          </c:val>
          <c:shape val="box"/>
        </c:ser>
        <c:ser>
          <c:idx val="1"/>
          <c:order val="1"/>
          <c:tx>
            <c:strRef>
              <c:f>'C. Resultados'!$A$567</c:f>
              <c:strCache>
                <c:ptCount val="1"/>
                <c:pt idx="0">
                  <c:v>H. Suf.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Resultados'!$B$565:$D$565</c:f>
              <c:strCache/>
            </c:strRef>
          </c:cat>
          <c:val>
            <c:numRef>
              <c:f>'C. Resultados'!$B$567:$D$567</c:f>
              <c:numCache>
                <c:ptCount val="3"/>
                <c:pt idx="0">
                  <c:v>0</c:v>
                </c:pt>
                <c:pt idx="1">
                  <c:v>0</c:v>
                </c:pt>
                <c:pt idx="2">
                  <c:v>0</c:v>
                </c:pt>
              </c:numCache>
            </c:numRef>
          </c:val>
          <c:shape val="box"/>
        </c:ser>
        <c:ser>
          <c:idx val="2"/>
          <c:order val="2"/>
          <c:tx>
            <c:strRef>
              <c:f>'C. Resultados'!$A$568</c:f>
              <c:strCache>
                <c:ptCount val="1"/>
                <c:pt idx="0">
                  <c:v>H. Efi.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Resultados'!$B$565:$D$565</c:f>
              <c:strCache/>
            </c:strRef>
          </c:cat>
          <c:val>
            <c:numRef>
              <c:f>'C. Resultados'!$B$568:$D$568</c:f>
              <c:numCache>
                <c:ptCount val="3"/>
                <c:pt idx="0">
                  <c:v>0</c:v>
                </c:pt>
                <c:pt idx="1">
                  <c:v>0</c:v>
                </c:pt>
                <c:pt idx="2">
                  <c:v>0</c:v>
                </c:pt>
              </c:numCache>
            </c:numRef>
          </c:val>
          <c:shape val="box"/>
        </c:ser>
        <c:shape val="box"/>
        <c:axId val="29774531"/>
        <c:axId val="66644188"/>
        <c:axId val="62926781"/>
      </c:bar3DChart>
      <c:catAx>
        <c:axId val="29774531"/>
        <c:scaling>
          <c:orientation val="minMax"/>
        </c:scaling>
        <c:axPos val="b"/>
        <c:title>
          <c:tx>
            <c:rich>
              <a:bodyPr vert="horz" rot="0" anchor="ctr"/>
              <a:lstStyle/>
              <a:p>
                <a:pPr algn="ctr">
                  <a:defRPr/>
                </a:pPr>
                <a:r>
                  <a:rPr lang="en-US" cap="none" sz="800" b="1" i="0" u="none" baseline="0">
                    <a:latin typeface="Arial"/>
                    <a:ea typeface="Arial"/>
                    <a:cs typeface="Arial"/>
                  </a:rPr>
                  <a:t>H. Higiénicos.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6644188"/>
        <c:crosses val="autoZero"/>
        <c:auto val="1"/>
        <c:lblOffset val="100"/>
        <c:noMultiLvlLbl val="0"/>
      </c:catAx>
      <c:valAx>
        <c:axId val="66644188"/>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774531"/>
        <c:crossesAt val="1"/>
        <c:crossBetween val="between"/>
        <c:dispUnits/>
      </c:valAx>
      <c:serAx>
        <c:axId val="62926781"/>
        <c:scaling>
          <c:orientation val="minMax"/>
        </c:scaling>
        <c:axPos val="b"/>
        <c:title>
          <c:tx>
            <c:rich>
              <a:bodyPr vert="horz" rot="0" anchor="ctr"/>
              <a:lstStyle/>
              <a:p>
                <a:pPr algn="ctr">
                  <a:defRPr/>
                </a:pPr>
                <a:r>
                  <a:rPr lang="en-US" cap="none" sz="800" b="1" i="0" u="none" baseline="0">
                    <a:latin typeface="Arial"/>
                    <a:ea typeface="Arial"/>
                    <a:cs typeface="Arial"/>
                  </a:rPr>
                  <a:t>H. Nutricionales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6644188"/>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 hay Interacción significativa</a:t>
            </a:r>
          </a:p>
        </c:rich>
      </c:tx>
      <c:layout/>
      <c:spPr>
        <a:noFill/>
        <a:ln>
          <a:noFill/>
        </a:ln>
      </c:spPr>
    </c:title>
    <c:plotArea>
      <c:layout/>
      <c:barChart>
        <c:barDir val="col"/>
        <c:grouping val="clustered"/>
        <c:varyColors val="0"/>
        <c:ser>
          <c:idx val="0"/>
          <c:order val="0"/>
          <c:tx>
            <c:strRef>
              <c:f>'C. Resultados'!$B$483</c:f>
              <c:strCache>
                <c:ptCount val="1"/>
                <c:pt idx="0">
                  <c:v>Deficiente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Resultados'!$A$484:$A$487</c:f>
              <c:strCache/>
            </c:strRef>
          </c:cat>
          <c:val>
            <c:numRef>
              <c:f>'C. Resultados'!$B$484:$B$487</c:f>
              <c:numCache>
                <c:ptCount val="4"/>
                <c:pt idx="0">
                  <c:v>0</c:v>
                </c:pt>
                <c:pt idx="1">
                  <c:v>0</c:v>
                </c:pt>
                <c:pt idx="2">
                  <c:v>0</c:v>
                </c:pt>
                <c:pt idx="3">
                  <c:v>0</c:v>
                </c:pt>
              </c:numCache>
            </c:numRef>
          </c:val>
        </c:ser>
        <c:ser>
          <c:idx val="1"/>
          <c:order val="1"/>
          <c:tx>
            <c:strRef>
              <c:f>'C. Resultados'!$C$483</c:f>
              <c:strCache>
                <c:ptCount val="1"/>
                <c:pt idx="0">
                  <c:v>Suficiente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Resultados'!$A$484:$A$487</c:f>
              <c:strCache/>
            </c:strRef>
          </c:cat>
          <c:val>
            <c:numRef>
              <c:f>'C. Resultados'!$C$484:$C$487</c:f>
              <c:numCache>
                <c:ptCount val="4"/>
                <c:pt idx="0">
                  <c:v>0</c:v>
                </c:pt>
                <c:pt idx="1">
                  <c:v>0</c:v>
                </c:pt>
                <c:pt idx="2">
                  <c:v>0</c:v>
                </c:pt>
                <c:pt idx="3">
                  <c:v>0</c:v>
                </c:pt>
              </c:numCache>
            </c:numRef>
          </c:val>
        </c:ser>
        <c:ser>
          <c:idx val="2"/>
          <c:order val="2"/>
          <c:tx>
            <c:strRef>
              <c:f>'C. Resultados'!$D$483</c:f>
              <c:strCache>
                <c:ptCount val="1"/>
                <c:pt idx="0">
                  <c:v>Eficiente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 Resultados'!$A$484:$A$487</c:f>
              <c:strCache/>
            </c:strRef>
          </c:cat>
          <c:val>
            <c:numRef>
              <c:f>'C. Resultados'!$D$484:$D$487</c:f>
              <c:numCache>
                <c:ptCount val="4"/>
                <c:pt idx="0">
                  <c:v>0</c:v>
                </c:pt>
                <c:pt idx="1">
                  <c:v>0</c:v>
                </c:pt>
                <c:pt idx="2">
                  <c:v>0</c:v>
                </c:pt>
                <c:pt idx="3">
                  <c:v>0</c:v>
                </c:pt>
              </c:numCache>
            </c:numRef>
          </c:val>
        </c:ser>
        <c:axId val="29470118"/>
        <c:axId val="63904471"/>
      </c:barChart>
      <c:catAx>
        <c:axId val="29470118"/>
        <c:scaling>
          <c:orientation val="minMax"/>
        </c:scaling>
        <c:axPos val="b"/>
        <c:title>
          <c:tx>
            <c:rich>
              <a:bodyPr vert="horz" rot="0" anchor="ctr"/>
              <a:lstStyle/>
              <a:p>
                <a:pPr algn="ctr">
                  <a:defRPr/>
                </a:pPr>
                <a:r>
                  <a:rPr lang="en-US" cap="none" sz="1050" b="1" i="0" u="none" baseline="0">
                    <a:latin typeface="Arial"/>
                    <a:ea typeface="Arial"/>
                    <a:cs typeface="Arial"/>
                  </a:rPr>
                  <a:t>Nivel Econónico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3904471"/>
        <c:crosses val="autoZero"/>
        <c:auto val="1"/>
        <c:lblOffset val="100"/>
        <c:noMultiLvlLbl val="0"/>
      </c:catAx>
      <c:valAx>
        <c:axId val="63904471"/>
        <c:scaling>
          <c:orientation val="minMax"/>
        </c:scaling>
        <c:axPos val="l"/>
        <c:title>
          <c:tx>
            <c:rich>
              <a:bodyPr vert="horz" rot="-5400000" anchor="ctr"/>
              <a:lstStyle/>
              <a:p>
                <a:pPr algn="ctr">
                  <a:defRPr/>
                </a:pPr>
                <a:r>
                  <a:rPr lang="en-US" cap="none" sz="1050" b="1" i="0" u="none" baseline="0">
                    <a:latin typeface="Arial"/>
                    <a:ea typeface="Arial"/>
                    <a:cs typeface="Arial"/>
                  </a:rPr>
                  <a:t>Porcentajes</a:t>
                </a:r>
              </a:p>
            </c:rich>
          </c:tx>
          <c:layout/>
          <c:overlay val="0"/>
          <c:spPr>
            <a:noFill/>
            <a:ln>
              <a:noFill/>
            </a:ln>
          </c:spPr>
        </c:title>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9470118"/>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_20" /><Relationship Id="rId2" Type="http://schemas.openxmlformats.org/officeDocument/2006/relationships/hyperlink" Target="#D_22" /><Relationship Id="rId3" Type="http://schemas.openxmlformats.org/officeDocument/2006/relationships/hyperlink" Target="#D_25" /><Relationship Id="rId4" Type="http://schemas.openxmlformats.org/officeDocument/2006/relationships/hyperlink" Target="#D_27" /><Relationship Id="rId5" Type="http://schemas.openxmlformats.org/officeDocument/2006/relationships/hyperlink" Target="#D_33" /><Relationship Id="rId6" Type="http://schemas.openxmlformats.org/officeDocument/2006/relationships/hyperlink" Target="#D_28" /><Relationship Id="rId7" Type="http://schemas.openxmlformats.org/officeDocument/2006/relationships/hyperlink" Target="#D_30" /><Relationship Id="rId8" Type="http://schemas.openxmlformats.org/officeDocument/2006/relationships/hyperlink" Target="#D_32" /><Relationship Id="rId9" Type="http://schemas.openxmlformats.org/officeDocument/2006/relationships/hyperlink" Target="#D_36" /><Relationship Id="rId10" Type="http://schemas.openxmlformats.org/officeDocument/2006/relationships/hyperlink" Target="#D_38" /><Relationship Id="rId11" Type="http://schemas.openxmlformats.org/officeDocument/2006/relationships/hyperlink" Target="#D_42" /><Relationship Id="rId12" Type="http://schemas.openxmlformats.org/officeDocument/2006/relationships/hyperlink" Target="#D_46" /><Relationship Id="rId13" Type="http://schemas.openxmlformats.org/officeDocument/2006/relationships/hyperlink" Target="#D_57" /><Relationship Id="rId14" Type="http://schemas.openxmlformats.org/officeDocument/2006/relationships/hyperlink" Target="#D_60" /><Relationship Id="rId15" Type="http://schemas.openxmlformats.org/officeDocument/2006/relationships/hyperlink" Target="#D_53" /><Relationship Id="rId16" Type="http://schemas.openxmlformats.org/officeDocument/2006/relationships/hyperlink" Target="#D_58" /><Relationship Id="rId17" Type="http://schemas.openxmlformats.org/officeDocument/2006/relationships/hyperlink" Target="#D_61" /><Relationship Id="rId18" Type="http://schemas.openxmlformats.org/officeDocument/2006/relationships/image" Target="../media/image49.jpeg" /><Relationship Id="rId19" Type="http://schemas.openxmlformats.org/officeDocument/2006/relationships/image" Target="../media/image50.jpeg" /><Relationship Id="rId20" Type="http://schemas.openxmlformats.org/officeDocument/2006/relationships/image" Target="../media/image51.jpeg" /><Relationship Id="rId21" Type="http://schemas.openxmlformats.org/officeDocument/2006/relationships/image" Target="../media/image52.jpeg" /><Relationship Id="rId22" Type="http://schemas.openxmlformats.org/officeDocument/2006/relationships/image" Target="../media/image53.jpeg" /><Relationship Id="rId23" Type="http://schemas.openxmlformats.org/officeDocument/2006/relationships/image" Target="../media/image54.jpeg" /><Relationship Id="rId24" Type="http://schemas.openxmlformats.org/officeDocument/2006/relationships/image" Target="../media/image55.jpeg" /><Relationship Id="rId25" Type="http://schemas.openxmlformats.org/officeDocument/2006/relationships/image" Target="../media/image56.jpeg" /><Relationship Id="rId26" Type="http://schemas.openxmlformats.org/officeDocument/2006/relationships/image" Target="../media/image57.jpeg" /><Relationship Id="rId27" Type="http://schemas.openxmlformats.org/officeDocument/2006/relationships/image" Target="../media/image58.jpeg" /><Relationship Id="rId28" Type="http://schemas.openxmlformats.org/officeDocument/2006/relationships/image" Target="../media/image59.jpeg" /><Relationship Id="rId29" Type="http://schemas.openxmlformats.org/officeDocument/2006/relationships/image" Target="../media/image60.jpeg" /><Relationship Id="rId30" Type="http://schemas.openxmlformats.org/officeDocument/2006/relationships/image" Target="../media/image61.jpeg" /><Relationship Id="rId31" Type="http://schemas.openxmlformats.org/officeDocument/2006/relationships/image" Target="../media/image62.jpeg" /><Relationship Id="rId32" Type="http://schemas.openxmlformats.org/officeDocument/2006/relationships/image" Target="../media/image63.jpeg" /><Relationship Id="rId33" Type="http://schemas.openxmlformats.org/officeDocument/2006/relationships/image" Target="../media/image64.jpeg" /><Relationship Id="rId34" Type="http://schemas.openxmlformats.org/officeDocument/2006/relationships/image" Target="../media/image65.jpeg" /><Relationship Id="rId35" Type="http://schemas.openxmlformats.org/officeDocument/2006/relationships/image" Target="../media/image6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7.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8.emf" /><Relationship Id="rId7" Type="http://schemas.openxmlformats.org/officeDocument/2006/relationships/image" Target="../media/image29.emf" /><Relationship Id="rId8" Type="http://schemas.openxmlformats.org/officeDocument/2006/relationships/image" Target="../media/image30.emf" /><Relationship Id="rId9" Type="http://schemas.openxmlformats.org/officeDocument/2006/relationships/chart" Target="/xl/charts/chart1.xml" /><Relationship Id="rId10" Type="http://schemas.openxmlformats.org/officeDocument/2006/relationships/image" Target="../media/image10.emf" /><Relationship Id="rId11" Type="http://schemas.openxmlformats.org/officeDocument/2006/relationships/image" Target="../media/image12.emf" /><Relationship Id="rId12" Type="http://schemas.openxmlformats.org/officeDocument/2006/relationships/image" Target="../media/image11.emf" /><Relationship Id="rId13" Type="http://schemas.openxmlformats.org/officeDocument/2006/relationships/image" Target="../media/image9.emf" /><Relationship Id="rId14" Type="http://schemas.openxmlformats.org/officeDocument/2006/relationships/image" Target="../media/image6.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7.emf" /><Relationship Id="rId18" Type="http://schemas.openxmlformats.org/officeDocument/2006/relationships/image" Target="../media/image13.emf" /><Relationship Id="rId19" Type="http://schemas.openxmlformats.org/officeDocument/2006/relationships/chart" Target="/xl/charts/chart2.xml" /><Relationship Id="rId20" Type="http://schemas.openxmlformats.org/officeDocument/2006/relationships/chart" Target="/xl/charts/chart3.xml" /><Relationship Id="rId21" Type="http://schemas.openxmlformats.org/officeDocument/2006/relationships/image" Target="../media/image16.emf" /><Relationship Id="rId22" Type="http://schemas.openxmlformats.org/officeDocument/2006/relationships/image" Target="../media/image31.emf" /><Relationship Id="rId23" Type="http://schemas.openxmlformats.org/officeDocument/2006/relationships/image" Target="../media/image32.emf" /><Relationship Id="rId24" Type="http://schemas.openxmlformats.org/officeDocument/2006/relationships/image" Target="../media/image33.emf" /><Relationship Id="rId25" Type="http://schemas.openxmlformats.org/officeDocument/2006/relationships/chart" Target="/xl/charts/chart4.xml" /><Relationship Id="rId26" Type="http://schemas.openxmlformats.org/officeDocument/2006/relationships/image" Target="../media/image17.emf" /><Relationship Id="rId27" Type="http://schemas.openxmlformats.org/officeDocument/2006/relationships/image" Target="../media/image36.emf" /><Relationship Id="rId28" Type="http://schemas.openxmlformats.org/officeDocument/2006/relationships/image" Target="../media/image19.emf" /><Relationship Id="rId29" Type="http://schemas.openxmlformats.org/officeDocument/2006/relationships/image" Target="../media/image35.emf" /><Relationship Id="rId30" Type="http://schemas.openxmlformats.org/officeDocument/2006/relationships/image" Target="../media/image37.emf" /><Relationship Id="rId31" Type="http://schemas.openxmlformats.org/officeDocument/2006/relationships/image" Target="../media/image38.emf" /><Relationship Id="rId32" Type="http://schemas.openxmlformats.org/officeDocument/2006/relationships/image" Target="../media/image39.emf" /><Relationship Id="rId33" Type="http://schemas.openxmlformats.org/officeDocument/2006/relationships/image" Target="../media/image18.emf" /><Relationship Id="rId34" Type="http://schemas.openxmlformats.org/officeDocument/2006/relationships/image" Target="../media/image23.emf" /><Relationship Id="rId35" Type="http://schemas.openxmlformats.org/officeDocument/2006/relationships/image" Target="../media/image40.png" /><Relationship Id="rId36" Type="http://schemas.openxmlformats.org/officeDocument/2006/relationships/image" Target="../media/image42.emf" /><Relationship Id="rId37" Type="http://schemas.openxmlformats.org/officeDocument/2006/relationships/image" Target="../media/image43.emf" /><Relationship Id="rId38" Type="http://schemas.openxmlformats.org/officeDocument/2006/relationships/image" Target="../media/image22.png" /><Relationship Id="rId39" Type="http://schemas.openxmlformats.org/officeDocument/2006/relationships/image" Target="../media/image24.emf" /><Relationship Id="rId40" Type="http://schemas.openxmlformats.org/officeDocument/2006/relationships/image" Target="../media/image41.emf" /><Relationship Id="rId41" Type="http://schemas.openxmlformats.org/officeDocument/2006/relationships/image" Target="../media/image21.emf" /><Relationship Id="rId42" Type="http://schemas.openxmlformats.org/officeDocument/2006/relationships/image" Target="../media/image26.emf" /><Relationship Id="rId43" Type="http://schemas.openxmlformats.org/officeDocument/2006/relationships/image" Target="../media/image45.png" /><Relationship Id="rId44" Type="http://schemas.openxmlformats.org/officeDocument/2006/relationships/image" Target="../media/image44.png" /><Relationship Id="rId45" Type="http://schemas.openxmlformats.org/officeDocument/2006/relationships/chart" Target="/xl/charts/chart5.xml" /><Relationship Id="rId46" Type="http://schemas.openxmlformats.org/officeDocument/2006/relationships/chart" Target="/xl/charts/chart6.xml" /><Relationship Id="rId47" Type="http://schemas.openxmlformats.org/officeDocument/2006/relationships/chart" Target="/xl/charts/chart7.xml" /><Relationship Id="rId48" Type="http://schemas.openxmlformats.org/officeDocument/2006/relationships/chart" Target="/xl/charts/chart8.xml" /><Relationship Id="rId49" Type="http://schemas.openxmlformats.org/officeDocument/2006/relationships/chart" Target="/xl/charts/chart9.xml" /><Relationship Id="rId50" Type="http://schemas.openxmlformats.org/officeDocument/2006/relationships/chart" Target="/xl/charts/chart10.xml" /><Relationship Id="rId51" Type="http://schemas.openxmlformats.org/officeDocument/2006/relationships/chart" Target="/xl/charts/chart11.xml" /><Relationship Id="rId52" Type="http://schemas.openxmlformats.org/officeDocument/2006/relationships/chart" Target="/xl/charts/chart12.xml" /><Relationship Id="rId53" Type="http://schemas.openxmlformats.org/officeDocument/2006/relationships/image" Target="../media/image27.png" /><Relationship Id="rId54" Type="http://schemas.openxmlformats.org/officeDocument/2006/relationships/image" Target="../media/image46.png" /><Relationship Id="rId55" Type="http://schemas.openxmlformats.org/officeDocument/2006/relationships/image" Target="../media/image47.emf" /><Relationship Id="rId56" Type="http://schemas.openxmlformats.org/officeDocument/2006/relationships/image" Target="../media/image48.emf" /><Relationship Id="rId57" Type="http://schemas.openxmlformats.org/officeDocument/2006/relationships/image" Target="../media/image28.emf" /><Relationship Id="rId58" Type="http://schemas.openxmlformats.org/officeDocument/2006/relationships/image" Target="../media/image68.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5.png" /><Relationship Id="rId2" Type="http://schemas.openxmlformats.org/officeDocument/2006/relationships/image" Target="../media/image34.png" /><Relationship Id="rId3" Type="http://schemas.openxmlformats.org/officeDocument/2006/relationships/image" Target="../media/image6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20</xdr:row>
      <xdr:rowOff>104775</xdr:rowOff>
    </xdr:from>
    <xdr:to>
      <xdr:col>2</xdr:col>
      <xdr:colOff>200025</xdr:colOff>
      <xdr:row>25</xdr:row>
      <xdr:rowOff>19050</xdr:rowOff>
    </xdr:to>
    <xdr:sp>
      <xdr:nvSpPr>
        <xdr:cNvPr id="1" name="AutoShape 22"/>
        <xdr:cNvSpPr>
          <a:spLocks/>
        </xdr:cNvSpPr>
      </xdr:nvSpPr>
      <xdr:spPr>
        <a:xfrm>
          <a:off x="133350" y="3343275"/>
          <a:ext cx="1590675" cy="723900"/>
        </a:xfrm>
        <a:prstGeom prst="bevel">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Generador del Problema.
</a:t>
          </a:r>
        </a:p>
      </xdr:txBody>
    </xdr:sp>
    <xdr:clientData/>
  </xdr:twoCellAnchor>
  <xdr:twoCellAnchor>
    <xdr:from>
      <xdr:col>0</xdr:col>
      <xdr:colOff>0</xdr:colOff>
      <xdr:row>0</xdr:row>
      <xdr:rowOff>0</xdr:rowOff>
    </xdr:from>
    <xdr:to>
      <xdr:col>9</xdr:col>
      <xdr:colOff>609600</xdr:colOff>
      <xdr:row>26</xdr:row>
      <xdr:rowOff>152400</xdr:rowOff>
    </xdr:to>
    <xdr:sp>
      <xdr:nvSpPr>
        <xdr:cNvPr id="2" name="Rectangle 1"/>
        <xdr:cNvSpPr>
          <a:spLocks/>
        </xdr:cNvSpPr>
      </xdr:nvSpPr>
      <xdr:spPr>
        <a:xfrm>
          <a:off x="0" y="0"/>
          <a:ext cx="7467600" cy="4362450"/>
        </a:xfrm>
        <a:prstGeom prst="rect">
          <a:avLst/>
        </a:prstGeom>
        <a:gradFill rotWithShape="1">
          <a:gsLst>
            <a:gs pos="0">
              <a:srgbClr val="993300"/>
            </a:gs>
            <a:gs pos="100000">
              <a:srgbClr val="CC33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0</xdr:row>
      <xdr:rowOff>95250</xdr:rowOff>
    </xdr:from>
    <xdr:to>
      <xdr:col>8</xdr:col>
      <xdr:colOff>695325</xdr:colOff>
      <xdr:row>4</xdr:row>
      <xdr:rowOff>152400</xdr:rowOff>
    </xdr:to>
    <xdr:sp>
      <xdr:nvSpPr>
        <xdr:cNvPr id="3" name="Rectangle 2"/>
        <xdr:cNvSpPr>
          <a:spLocks/>
        </xdr:cNvSpPr>
      </xdr:nvSpPr>
      <xdr:spPr>
        <a:xfrm>
          <a:off x="628650" y="95250"/>
          <a:ext cx="6162675" cy="704850"/>
        </a:xfrm>
        <a:prstGeom prst="roundRect">
          <a:avLst/>
        </a:prstGeom>
        <a:blipFill>
          <a:blip r:embed="rId18"/>
          <a:srcRect/>
          <a:stretch>
            <a:fillRect/>
          </a:stretch>
        </a:blipFill>
        <a:ln w="9525" cmpd="sng">
          <a:solidFill>
            <a:srgbClr val="000000"/>
          </a:solidFill>
          <a:headEnd type="none"/>
          <a:tailEnd type="none"/>
        </a:ln>
      </xdr:spPr>
      <xdr:txBody>
        <a:bodyPr vertOverflow="clip" wrap="square"/>
        <a:p>
          <a:pPr algn="ctr">
            <a:defRPr/>
          </a:pPr>
          <a:r>
            <a:rPr lang="en-US" cap="none" sz="2000" b="1" i="0" u="none" baseline="0">
              <a:solidFill>
                <a:srgbClr val="FFFF00"/>
              </a:solidFill>
              <a:latin typeface="Arial"/>
              <a:ea typeface="Arial"/>
              <a:cs typeface="Arial"/>
            </a:rPr>
            <a:t>Apuntes De Estadística Aplicada con Excel.
Muestreo Aleatorio Sin Restricciones.</a:t>
          </a:r>
        </a:p>
      </xdr:txBody>
    </xdr:sp>
    <xdr:clientData/>
  </xdr:twoCellAnchor>
  <xdr:twoCellAnchor>
    <xdr:from>
      <xdr:col>2</xdr:col>
      <xdr:colOff>266700</xdr:colOff>
      <xdr:row>7</xdr:row>
      <xdr:rowOff>76200</xdr:rowOff>
    </xdr:from>
    <xdr:to>
      <xdr:col>9</xdr:col>
      <xdr:colOff>133350</xdr:colOff>
      <xdr:row>8</xdr:row>
      <xdr:rowOff>76200</xdr:rowOff>
    </xdr:to>
    <xdr:sp>
      <xdr:nvSpPr>
        <xdr:cNvPr id="4" name="TextBox 6">
          <a:hlinkClick r:id="rId1"/>
        </xdr:cNvPr>
        <xdr:cNvSpPr txBox="1">
          <a:spLocks noChangeArrowheads="1"/>
        </xdr:cNvSpPr>
      </xdr:nvSpPr>
      <xdr:spPr>
        <a:xfrm>
          <a:off x="1790700" y="1209675"/>
          <a:ext cx="5200650" cy="161925"/>
        </a:xfrm>
        <a:prstGeom prst="rect">
          <a:avLst/>
        </a:prstGeom>
        <a:blipFill>
          <a:blip r:embed="rId1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D_20.  Estadística Descriptiva.</a:t>
          </a:r>
        </a:p>
      </xdr:txBody>
    </xdr:sp>
    <xdr:clientData/>
  </xdr:twoCellAnchor>
  <xdr:twoCellAnchor>
    <xdr:from>
      <xdr:col>2</xdr:col>
      <xdr:colOff>276225</xdr:colOff>
      <xdr:row>8</xdr:row>
      <xdr:rowOff>95250</xdr:rowOff>
    </xdr:from>
    <xdr:to>
      <xdr:col>9</xdr:col>
      <xdr:colOff>142875</xdr:colOff>
      <xdr:row>9</xdr:row>
      <xdr:rowOff>95250</xdr:rowOff>
    </xdr:to>
    <xdr:sp>
      <xdr:nvSpPr>
        <xdr:cNvPr id="5" name="TextBox 7">
          <a:hlinkClick r:id="rId2"/>
        </xdr:cNvPr>
        <xdr:cNvSpPr txBox="1">
          <a:spLocks noChangeArrowheads="1"/>
        </xdr:cNvSpPr>
      </xdr:nvSpPr>
      <xdr:spPr>
        <a:xfrm>
          <a:off x="1800225" y="1390650"/>
          <a:ext cx="5200650" cy="161925"/>
        </a:xfrm>
        <a:prstGeom prst="rect">
          <a:avLst/>
        </a:prstGeom>
        <a:blipFill>
          <a:blip r:embed="rId2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D_22.  Prueba de Normalidad.</a:t>
          </a:r>
        </a:p>
      </xdr:txBody>
    </xdr:sp>
    <xdr:clientData/>
  </xdr:twoCellAnchor>
  <xdr:twoCellAnchor>
    <xdr:from>
      <xdr:col>2</xdr:col>
      <xdr:colOff>276225</xdr:colOff>
      <xdr:row>9</xdr:row>
      <xdr:rowOff>114300</xdr:rowOff>
    </xdr:from>
    <xdr:to>
      <xdr:col>9</xdr:col>
      <xdr:colOff>142875</xdr:colOff>
      <xdr:row>10</xdr:row>
      <xdr:rowOff>114300</xdr:rowOff>
    </xdr:to>
    <xdr:sp>
      <xdr:nvSpPr>
        <xdr:cNvPr id="6" name="TextBox 8">
          <a:hlinkClick r:id="rId3"/>
        </xdr:cNvPr>
        <xdr:cNvSpPr txBox="1">
          <a:spLocks noChangeArrowheads="1"/>
        </xdr:cNvSpPr>
      </xdr:nvSpPr>
      <xdr:spPr>
        <a:xfrm>
          <a:off x="1800225" y="1571625"/>
          <a:ext cx="5200650" cy="161925"/>
        </a:xfrm>
        <a:prstGeom prst="rect">
          <a:avLst/>
        </a:prstGeom>
        <a:blipFill>
          <a:blip r:embed="rId21"/>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D_25.   25% del peso de la población más bajo.</a:t>
          </a:r>
        </a:p>
      </xdr:txBody>
    </xdr:sp>
    <xdr:clientData/>
  </xdr:twoCellAnchor>
  <xdr:twoCellAnchor>
    <xdr:from>
      <xdr:col>2</xdr:col>
      <xdr:colOff>285750</xdr:colOff>
      <xdr:row>10</xdr:row>
      <xdr:rowOff>133350</xdr:rowOff>
    </xdr:from>
    <xdr:to>
      <xdr:col>9</xdr:col>
      <xdr:colOff>152400</xdr:colOff>
      <xdr:row>11</xdr:row>
      <xdr:rowOff>133350</xdr:rowOff>
    </xdr:to>
    <xdr:sp>
      <xdr:nvSpPr>
        <xdr:cNvPr id="7" name="TextBox 9">
          <a:hlinkClick r:id="rId4"/>
        </xdr:cNvPr>
        <xdr:cNvSpPr txBox="1">
          <a:spLocks noChangeArrowheads="1"/>
        </xdr:cNvSpPr>
      </xdr:nvSpPr>
      <xdr:spPr>
        <a:xfrm>
          <a:off x="1809750" y="1752600"/>
          <a:ext cx="5200650" cy="161925"/>
        </a:xfrm>
        <a:prstGeom prst="rect">
          <a:avLst/>
        </a:prstGeom>
        <a:blipFill>
          <a:blip r:embed="rId2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D_27.  Las variables Discretas.</a:t>
          </a:r>
        </a:p>
      </xdr:txBody>
    </xdr:sp>
    <xdr:clientData/>
  </xdr:twoCellAnchor>
  <xdr:twoCellAnchor>
    <xdr:from>
      <xdr:col>2</xdr:col>
      <xdr:colOff>276225</xdr:colOff>
      <xdr:row>15</xdr:row>
      <xdr:rowOff>57150</xdr:rowOff>
    </xdr:from>
    <xdr:to>
      <xdr:col>9</xdr:col>
      <xdr:colOff>142875</xdr:colOff>
      <xdr:row>16</xdr:row>
      <xdr:rowOff>57150</xdr:rowOff>
    </xdr:to>
    <xdr:sp>
      <xdr:nvSpPr>
        <xdr:cNvPr id="8" name="TextBox 10">
          <a:hlinkClick r:id="rId5"/>
        </xdr:cNvPr>
        <xdr:cNvSpPr txBox="1">
          <a:spLocks noChangeArrowheads="1"/>
        </xdr:cNvSpPr>
      </xdr:nvSpPr>
      <xdr:spPr>
        <a:xfrm>
          <a:off x="1800225" y="2486025"/>
          <a:ext cx="5200650" cy="161925"/>
        </a:xfrm>
        <a:prstGeom prst="rect">
          <a:avLst/>
        </a:prstGeom>
        <a:blipFill>
          <a:blip r:embed="rId2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D_33.  Prueba de Variables Continuas. ANDEVA</a:t>
          </a:r>
        </a:p>
      </xdr:txBody>
    </xdr:sp>
    <xdr:clientData/>
  </xdr:twoCellAnchor>
  <xdr:twoCellAnchor>
    <xdr:from>
      <xdr:col>2</xdr:col>
      <xdr:colOff>285750</xdr:colOff>
      <xdr:row>12</xdr:row>
      <xdr:rowOff>0</xdr:rowOff>
    </xdr:from>
    <xdr:to>
      <xdr:col>9</xdr:col>
      <xdr:colOff>152400</xdr:colOff>
      <xdr:row>13</xdr:row>
      <xdr:rowOff>0</xdr:rowOff>
    </xdr:to>
    <xdr:sp>
      <xdr:nvSpPr>
        <xdr:cNvPr id="9" name="TextBox 11">
          <a:hlinkClick r:id="rId6"/>
        </xdr:cNvPr>
        <xdr:cNvSpPr txBox="1">
          <a:spLocks noChangeArrowheads="1"/>
        </xdr:cNvSpPr>
      </xdr:nvSpPr>
      <xdr:spPr>
        <a:xfrm>
          <a:off x="1809750" y="1943100"/>
          <a:ext cx="5200650" cy="161925"/>
        </a:xfrm>
        <a:prstGeom prst="rect">
          <a:avLst/>
        </a:prstGeom>
        <a:blipFill>
          <a:blip r:embed="rId24"/>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D_28.  Las variables Cualitativas.</a:t>
          </a:r>
        </a:p>
      </xdr:txBody>
    </xdr:sp>
    <xdr:clientData/>
  </xdr:twoCellAnchor>
  <xdr:twoCellAnchor>
    <xdr:from>
      <xdr:col>2</xdr:col>
      <xdr:colOff>285750</xdr:colOff>
      <xdr:row>13</xdr:row>
      <xdr:rowOff>19050</xdr:rowOff>
    </xdr:from>
    <xdr:to>
      <xdr:col>9</xdr:col>
      <xdr:colOff>152400</xdr:colOff>
      <xdr:row>14</xdr:row>
      <xdr:rowOff>19050</xdr:rowOff>
    </xdr:to>
    <xdr:sp>
      <xdr:nvSpPr>
        <xdr:cNvPr id="10" name="TextBox 12">
          <a:hlinkClick r:id="rId7"/>
        </xdr:cNvPr>
        <xdr:cNvSpPr txBox="1">
          <a:spLocks noChangeArrowheads="1"/>
        </xdr:cNvSpPr>
      </xdr:nvSpPr>
      <xdr:spPr>
        <a:xfrm>
          <a:off x="1809750" y="2124075"/>
          <a:ext cx="5200650" cy="161925"/>
        </a:xfrm>
        <a:prstGeom prst="rect">
          <a:avLst/>
        </a:prstGeom>
        <a:blipFill>
          <a:blip r:embed="rId2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D_30. Contrastando hipótesis sobre porcentajes.</a:t>
          </a:r>
        </a:p>
      </xdr:txBody>
    </xdr:sp>
    <xdr:clientData/>
  </xdr:twoCellAnchor>
  <xdr:twoCellAnchor>
    <xdr:from>
      <xdr:col>2</xdr:col>
      <xdr:colOff>276225</xdr:colOff>
      <xdr:row>14</xdr:row>
      <xdr:rowOff>38100</xdr:rowOff>
    </xdr:from>
    <xdr:to>
      <xdr:col>9</xdr:col>
      <xdr:colOff>142875</xdr:colOff>
      <xdr:row>15</xdr:row>
      <xdr:rowOff>38100</xdr:rowOff>
    </xdr:to>
    <xdr:sp>
      <xdr:nvSpPr>
        <xdr:cNvPr id="11" name="TextBox 13">
          <a:hlinkClick r:id="rId8"/>
        </xdr:cNvPr>
        <xdr:cNvSpPr txBox="1">
          <a:spLocks noChangeArrowheads="1"/>
        </xdr:cNvSpPr>
      </xdr:nvSpPr>
      <xdr:spPr>
        <a:xfrm>
          <a:off x="1800225" y="2305050"/>
          <a:ext cx="5200650" cy="161925"/>
        </a:xfrm>
        <a:prstGeom prst="rect">
          <a:avLst/>
        </a:prstGeom>
        <a:blipFill>
          <a:blip r:embed="rId2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D_32.  Prueba para proporciones por nivel.</a:t>
          </a:r>
        </a:p>
      </xdr:txBody>
    </xdr:sp>
    <xdr:clientData/>
  </xdr:twoCellAnchor>
  <xdr:twoCellAnchor>
    <xdr:from>
      <xdr:col>2</xdr:col>
      <xdr:colOff>276225</xdr:colOff>
      <xdr:row>16</xdr:row>
      <xdr:rowOff>76200</xdr:rowOff>
    </xdr:from>
    <xdr:to>
      <xdr:col>9</xdr:col>
      <xdr:colOff>142875</xdr:colOff>
      <xdr:row>17</xdr:row>
      <xdr:rowOff>76200</xdr:rowOff>
    </xdr:to>
    <xdr:sp>
      <xdr:nvSpPr>
        <xdr:cNvPr id="12" name="TextBox 15">
          <a:hlinkClick r:id="rId9"/>
        </xdr:cNvPr>
        <xdr:cNvSpPr txBox="1">
          <a:spLocks noChangeArrowheads="1"/>
        </xdr:cNvSpPr>
      </xdr:nvSpPr>
      <xdr:spPr>
        <a:xfrm>
          <a:off x="1800225" y="2667000"/>
          <a:ext cx="5200650" cy="161925"/>
        </a:xfrm>
        <a:prstGeom prst="rect">
          <a:avLst/>
        </a:prstGeom>
        <a:blipFill>
          <a:blip r:embed="rId2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D_36.  Cuadros de tres entradas. Números</a:t>
          </a:r>
        </a:p>
      </xdr:txBody>
    </xdr:sp>
    <xdr:clientData/>
  </xdr:twoCellAnchor>
  <xdr:twoCellAnchor>
    <xdr:from>
      <xdr:col>2</xdr:col>
      <xdr:colOff>266700</xdr:colOff>
      <xdr:row>17</xdr:row>
      <xdr:rowOff>95250</xdr:rowOff>
    </xdr:from>
    <xdr:to>
      <xdr:col>9</xdr:col>
      <xdr:colOff>133350</xdr:colOff>
      <xdr:row>18</xdr:row>
      <xdr:rowOff>95250</xdr:rowOff>
    </xdr:to>
    <xdr:sp>
      <xdr:nvSpPr>
        <xdr:cNvPr id="13" name="TextBox 17">
          <a:hlinkClick r:id="rId10"/>
        </xdr:cNvPr>
        <xdr:cNvSpPr txBox="1">
          <a:spLocks noChangeArrowheads="1"/>
        </xdr:cNvSpPr>
      </xdr:nvSpPr>
      <xdr:spPr>
        <a:xfrm>
          <a:off x="1790700" y="2847975"/>
          <a:ext cx="5200650" cy="161925"/>
        </a:xfrm>
        <a:prstGeom prst="rect">
          <a:avLst/>
        </a:prstGeom>
        <a:blipFill>
          <a:blip r:embed="rId2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D_38.  Cuadros de dos entradas.</a:t>
          </a:r>
        </a:p>
      </xdr:txBody>
    </xdr:sp>
    <xdr:clientData/>
  </xdr:twoCellAnchor>
  <xdr:twoCellAnchor>
    <xdr:from>
      <xdr:col>2</xdr:col>
      <xdr:colOff>266700</xdr:colOff>
      <xdr:row>18</xdr:row>
      <xdr:rowOff>114300</xdr:rowOff>
    </xdr:from>
    <xdr:to>
      <xdr:col>9</xdr:col>
      <xdr:colOff>133350</xdr:colOff>
      <xdr:row>19</xdr:row>
      <xdr:rowOff>114300</xdr:rowOff>
    </xdr:to>
    <xdr:sp>
      <xdr:nvSpPr>
        <xdr:cNvPr id="14" name="TextBox 18">
          <a:hlinkClick r:id="rId11"/>
        </xdr:cNvPr>
        <xdr:cNvSpPr txBox="1">
          <a:spLocks noChangeArrowheads="1"/>
        </xdr:cNvSpPr>
      </xdr:nvSpPr>
      <xdr:spPr>
        <a:xfrm>
          <a:off x="1790700" y="3028950"/>
          <a:ext cx="5200650" cy="161925"/>
        </a:xfrm>
        <a:prstGeom prst="rect">
          <a:avLst/>
        </a:prstGeom>
        <a:blipFill>
          <a:blip r:embed="rId2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D_42.  Pruebas de Interacción.</a:t>
          </a:r>
        </a:p>
      </xdr:txBody>
    </xdr:sp>
    <xdr:clientData/>
  </xdr:twoCellAnchor>
  <xdr:twoCellAnchor>
    <xdr:from>
      <xdr:col>2</xdr:col>
      <xdr:colOff>257175</xdr:colOff>
      <xdr:row>19</xdr:row>
      <xdr:rowOff>133350</xdr:rowOff>
    </xdr:from>
    <xdr:to>
      <xdr:col>9</xdr:col>
      <xdr:colOff>123825</xdr:colOff>
      <xdr:row>20</xdr:row>
      <xdr:rowOff>133350</xdr:rowOff>
    </xdr:to>
    <xdr:sp>
      <xdr:nvSpPr>
        <xdr:cNvPr id="15" name="TextBox 19">
          <a:hlinkClick r:id="rId12"/>
        </xdr:cNvPr>
        <xdr:cNvSpPr txBox="1">
          <a:spLocks noChangeArrowheads="1"/>
        </xdr:cNvSpPr>
      </xdr:nvSpPr>
      <xdr:spPr>
        <a:xfrm>
          <a:off x="1781175" y="3209925"/>
          <a:ext cx="5200650" cy="161925"/>
        </a:xfrm>
        <a:prstGeom prst="rect">
          <a:avLst/>
        </a:prstGeom>
        <a:blipFill>
          <a:blip r:embed="rId3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D_46.   Opciones Inductivas.</a:t>
          </a:r>
        </a:p>
      </xdr:txBody>
    </xdr:sp>
    <xdr:clientData/>
  </xdr:twoCellAnchor>
  <xdr:twoCellAnchor>
    <xdr:from>
      <xdr:col>0</xdr:col>
      <xdr:colOff>142875</xdr:colOff>
      <xdr:row>6</xdr:row>
      <xdr:rowOff>104775</xdr:rowOff>
    </xdr:from>
    <xdr:to>
      <xdr:col>2</xdr:col>
      <xdr:colOff>142875</xdr:colOff>
      <xdr:row>26</xdr:row>
      <xdr:rowOff>114300</xdr:rowOff>
    </xdr:to>
    <xdr:sp>
      <xdr:nvSpPr>
        <xdr:cNvPr id="16" name="TextBox 25"/>
        <xdr:cNvSpPr txBox="1">
          <a:spLocks noChangeArrowheads="1"/>
        </xdr:cNvSpPr>
      </xdr:nvSpPr>
      <xdr:spPr>
        <a:xfrm>
          <a:off x="142875" y="1076325"/>
          <a:ext cx="1524000" cy="3248025"/>
        </a:xfrm>
        <a:prstGeom prst="rect">
          <a:avLst/>
        </a:prstGeom>
        <a:solidFill>
          <a:srgbClr val="FFFF99"/>
        </a:solidFill>
        <a:ln w="9525" cmpd="sng">
          <a:solidFill>
            <a:srgbClr val="FFCC00"/>
          </a:solidFill>
          <a:headEnd type="none"/>
          <a:tailEnd type="none"/>
        </a:ln>
      </xdr:spPr>
      <xdr:txBody>
        <a:bodyPr vertOverflow="clip" wrap="square"/>
        <a:p>
          <a:pPr algn="ctr">
            <a:defRPr/>
          </a:pPr>
          <a:r>
            <a:rPr lang="en-US" cap="none" sz="800" b="1" i="0" u="none" baseline="0">
              <a:solidFill>
                <a:srgbClr val="FF0000"/>
              </a:solidFill>
              <a:latin typeface="Arial"/>
              <a:ea typeface="Arial"/>
              <a:cs typeface="Arial"/>
            </a:rPr>
            <a:t>Por la magnitud de la información que usualmente se maneja en problemas de muestreo, esta sección requiere del manejo de tres libros electrónicos que contienen el siguiente material:
..X01. xls; el ejemplo resuelto;
..X02.xls; la base de datos y las muestras;
..X03.xls; el generador del ejemplo.
Primero deberá utilizar el ..Xo3.xls para generar los datos. Se transfiere la base de datos al archivo ..X02.xls. Por último, se pasa la muestra al libro del ejemplo. 
</a:t>
          </a:r>
        </a:p>
      </xdr:txBody>
    </xdr:sp>
    <xdr:clientData/>
  </xdr:twoCellAnchor>
  <xdr:twoCellAnchor>
    <xdr:from>
      <xdr:col>2</xdr:col>
      <xdr:colOff>257175</xdr:colOff>
      <xdr:row>22</xdr:row>
      <xdr:rowOff>19050</xdr:rowOff>
    </xdr:from>
    <xdr:to>
      <xdr:col>9</xdr:col>
      <xdr:colOff>123825</xdr:colOff>
      <xdr:row>23</xdr:row>
      <xdr:rowOff>19050</xdr:rowOff>
    </xdr:to>
    <xdr:sp>
      <xdr:nvSpPr>
        <xdr:cNvPr id="17" name="TextBox 26">
          <a:hlinkClick r:id="rId13"/>
        </xdr:cNvPr>
        <xdr:cNvSpPr txBox="1">
          <a:spLocks noChangeArrowheads="1"/>
        </xdr:cNvSpPr>
      </xdr:nvSpPr>
      <xdr:spPr>
        <a:xfrm>
          <a:off x="1781175" y="3581400"/>
          <a:ext cx="5200650" cy="161925"/>
        </a:xfrm>
        <a:prstGeom prst="rect">
          <a:avLst/>
        </a:prstGeom>
        <a:blipFill>
          <a:blip r:embed="rId31"/>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D_57. Elección de la muestra.</a:t>
          </a:r>
        </a:p>
      </xdr:txBody>
    </xdr:sp>
    <xdr:clientData/>
  </xdr:twoCellAnchor>
  <xdr:twoCellAnchor>
    <xdr:from>
      <xdr:col>2</xdr:col>
      <xdr:colOff>257175</xdr:colOff>
      <xdr:row>24</xdr:row>
      <xdr:rowOff>57150</xdr:rowOff>
    </xdr:from>
    <xdr:to>
      <xdr:col>9</xdr:col>
      <xdr:colOff>123825</xdr:colOff>
      <xdr:row>25</xdr:row>
      <xdr:rowOff>57150</xdr:rowOff>
    </xdr:to>
    <xdr:sp>
      <xdr:nvSpPr>
        <xdr:cNvPr id="18" name="TextBox 27">
          <a:hlinkClick r:id="rId14"/>
        </xdr:cNvPr>
        <xdr:cNvSpPr txBox="1">
          <a:spLocks noChangeArrowheads="1"/>
        </xdr:cNvSpPr>
      </xdr:nvSpPr>
      <xdr:spPr>
        <a:xfrm>
          <a:off x="1781175" y="3943350"/>
          <a:ext cx="5200650" cy="161925"/>
        </a:xfrm>
        <a:prstGeom prst="rect">
          <a:avLst/>
        </a:prstGeom>
        <a:blipFill>
          <a:blip r:embed="rId3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D_60.   Tamaño de muestra para variable cuantitativa.</a:t>
          </a:r>
        </a:p>
      </xdr:txBody>
    </xdr:sp>
    <xdr:clientData/>
  </xdr:twoCellAnchor>
  <xdr:twoCellAnchor>
    <xdr:from>
      <xdr:col>2</xdr:col>
      <xdr:colOff>266700</xdr:colOff>
      <xdr:row>21</xdr:row>
      <xdr:rowOff>0</xdr:rowOff>
    </xdr:from>
    <xdr:to>
      <xdr:col>9</xdr:col>
      <xdr:colOff>133350</xdr:colOff>
      <xdr:row>22</xdr:row>
      <xdr:rowOff>0</xdr:rowOff>
    </xdr:to>
    <xdr:sp>
      <xdr:nvSpPr>
        <xdr:cNvPr id="19" name="TextBox 29">
          <a:hlinkClick r:id="rId15"/>
        </xdr:cNvPr>
        <xdr:cNvSpPr txBox="1">
          <a:spLocks noChangeArrowheads="1"/>
        </xdr:cNvSpPr>
      </xdr:nvSpPr>
      <xdr:spPr>
        <a:xfrm>
          <a:off x="1790700" y="3400425"/>
          <a:ext cx="5200650" cy="161925"/>
        </a:xfrm>
        <a:prstGeom prst="rect">
          <a:avLst/>
        </a:prstGeom>
        <a:blipFill>
          <a:blip r:embed="rId3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D_53.   Muestreo por Estratos o Estratificado</a:t>
          </a:r>
        </a:p>
      </xdr:txBody>
    </xdr:sp>
    <xdr:clientData/>
  </xdr:twoCellAnchor>
  <xdr:twoCellAnchor>
    <xdr:from>
      <xdr:col>2</xdr:col>
      <xdr:colOff>257175</xdr:colOff>
      <xdr:row>23</xdr:row>
      <xdr:rowOff>38100</xdr:rowOff>
    </xdr:from>
    <xdr:to>
      <xdr:col>9</xdr:col>
      <xdr:colOff>123825</xdr:colOff>
      <xdr:row>24</xdr:row>
      <xdr:rowOff>38100</xdr:rowOff>
    </xdr:to>
    <xdr:sp>
      <xdr:nvSpPr>
        <xdr:cNvPr id="20" name="TextBox 33">
          <a:hlinkClick r:id="rId16"/>
        </xdr:cNvPr>
        <xdr:cNvSpPr txBox="1">
          <a:spLocks noChangeArrowheads="1"/>
        </xdr:cNvSpPr>
      </xdr:nvSpPr>
      <xdr:spPr>
        <a:xfrm>
          <a:off x="1781175" y="3762375"/>
          <a:ext cx="5200650" cy="161925"/>
        </a:xfrm>
        <a:prstGeom prst="rect">
          <a:avLst/>
        </a:prstGeom>
        <a:blipFill>
          <a:blip r:embed="rId34"/>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D_58.   Muestreo por Etapas o Anidado.</a:t>
          </a:r>
        </a:p>
      </xdr:txBody>
    </xdr:sp>
    <xdr:clientData/>
  </xdr:twoCellAnchor>
  <xdr:twoCellAnchor>
    <xdr:from>
      <xdr:col>2</xdr:col>
      <xdr:colOff>247650</xdr:colOff>
      <xdr:row>25</xdr:row>
      <xdr:rowOff>76200</xdr:rowOff>
    </xdr:from>
    <xdr:to>
      <xdr:col>9</xdr:col>
      <xdr:colOff>114300</xdr:colOff>
      <xdr:row>26</xdr:row>
      <xdr:rowOff>76200</xdr:rowOff>
    </xdr:to>
    <xdr:sp>
      <xdr:nvSpPr>
        <xdr:cNvPr id="21" name="TextBox 34">
          <a:hlinkClick r:id="rId17"/>
        </xdr:cNvPr>
        <xdr:cNvSpPr txBox="1">
          <a:spLocks noChangeArrowheads="1"/>
        </xdr:cNvSpPr>
      </xdr:nvSpPr>
      <xdr:spPr>
        <a:xfrm>
          <a:off x="1771650" y="4124325"/>
          <a:ext cx="5200650" cy="161925"/>
        </a:xfrm>
        <a:prstGeom prst="rect">
          <a:avLst/>
        </a:prstGeom>
        <a:blipFill>
          <a:blip r:embed="rId3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D_61.   tamaño de Muestra Para Variables Cualitativas.</a:t>
          </a:r>
        </a:p>
      </xdr:txBody>
    </xdr:sp>
    <xdr:clientData/>
  </xdr:twoCellAnchor>
  <xdr:twoCellAnchor>
    <xdr:from>
      <xdr:col>0</xdr:col>
      <xdr:colOff>171450</xdr:colOff>
      <xdr:row>28</xdr:row>
      <xdr:rowOff>57150</xdr:rowOff>
    </xdr:from>
    <xdr:to>
      <xdr:col>9</xdr:col>
      <xdr:colOff>638175</xdr:colOff>
      <xdr:row>51</xdr:row>
      <xdr:rowOff>123825</xdr:rowOff>
    </xdr:to>
    <xdr:sp>
      <xdr:nvSpPr>
        <xdr:cNvPr id="22" name="TextBox 35"/>
        <xdr:cNvSpPr txBox="1">
          <a:spLocks noChangeArrowheads="1"/>
        </xdr:cNvSpPr>
      </xdr:nvSpPr>
      <xdr:spPr>
        <a:xfrm>
          <a:off x="171450" y="4591050"/>
          <a:ext cx="7324725" cy="3790950"/>
        </a:xfrm>
        <a:prstGeom prst="rect">
          <a:avLst/>
        </a:prstGeom>
        <a:solidFill>
          <a:srgbClr val="FFCC99"/>
        </a:solidFill>
        <a:ln w="9525" cmpd="sng">
          <a:solidFill>
            <a:srgbClr val="FF00FF"/>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
Ficha de catalogación.
310
P816p  Pontigo Alvarado, Manuel
             Curso programado de estadística asistido co excel y power point.
             1a. ed. Cartago  : M. Pontigo A.,  2007
250 p.
ISBN  978-9968-9634-3-5
  1. REGRESIÓN LINEAL;  2 ESTADÍSTICA NO PARAMÉTRICA; 3 MUESTREO; 4 ANDEVA; 5 DISTRIBUCIONES.
Reservados todos los derechos. El contenido de esta obra está protegido por la ley, que establece penas de prisión y/o multas, además de las correspondientes indemnizaciones por daños y perjuicios, para quienes reprodujeren, plagiaren, distribuyeren o comunicaren públicamente, en todo o en parte, una obra literaria, artística o científica, o su transformación, interpretación o ejecución artística fijada en cualquier tipo  de soporte o comunicado a través de cualquier medio, sin la preceptiva autorización.
© I. Manuel Pontigo Alvarado.
Cartago Costa Rica. Teléfono 552-3618.
e-mail: mpontigo@itcr.ac.cr
ISBN: 978-9968-9634-3-5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95250</xdr:rowOff>
    </xdr:from>
    <xdr:to>
      <xdr:col>9</xdr:col>
      <xdr:colOff>695325</xdr:colOff>
      <xdr:row>7</xdr:row>
      <xdr:rowOff>47625</xdr:rowOff>
    </xdr:to>
    <xdr:sp>
      <xdr:nvSpPr>
        <xdr:cNvPr id="1" name="Rectangle 1"/>
        <xdr:cNvSpPr>
          <a:spLocks/>
        </xdr:cNvSpPr>
      </xdr:nvSpPr>
      <xdr:spPr>
        <a:xfrm>
          <a:off x="1390650" y="95250"/>
          <a:ext cx="6162675" cy="1085850"/>
        </a:xfrm>
        <a:prstGeom prst="roundRect">
          <a:avLst/>
        </a:prstGeom>
        <a:blipFill>
          <a:blip r:embed="rId1"/>
          <a:srcRect/>
          <a:stretch>
            <a:fillRect/>
          </a:stretch>
        </a:blipFill>
        <a:ln w="9525" cmpd="sng">
          <a:solidFill>
            <a:srgbClr val="000000"/>
          </a:solidFill>
          <a:headEnd type="none"/>
          <a:tailEnd type="none"/>
        </a:ln>
      </xdr:spPr>
      <xdr:txBody>
        <a:bodyPr vertOverflow="clip" wrap="square"/>
        <a:p>
          <a:pPr algn="ctr">
            <a:defRPr/>
          </a:pPr>
          <a:r>
            <a:rPr lang="en-US" cap="none" sz="2000" b="1" i="0" u="none" baseline="0">
              <a:solidFill>
                <a:srgbClr val="FFFF00"/>
              </a:solidFill>
              <a:latin typeface="Arial"/>
              <a:ea typeface="Arial"/>
              <a:cs typeface="Arial"/>
            </a:rPr>
            <a:t>Apuntes De Estadística Aplicada con Excel.
Muestreo Aleatorio Sin Restricciones
HOJA DE EJERCICIOS.
</a:t>
          </a:r>
        </a:p>
      </xdr:txBody>
    </xdr:sp>
    <xdr:clientData/>
  </xdr:twoCellAnchor>
  <xdr:twoCellAnchor>
    <xdr:from>
      <xdr:col>1</xdr:col>
      <xdr:colOff>447675</xdr:colOff>
      <xdr:row>52</xdr:row>
      <xdr:rowOff>152400</xdr:rowOff>
    </xdr:from>
    <xdr:to>
      <xdr:col>6</xdr:col>
      <xdr:colOff>571500</xdr:colOff>
      <xdr:row>73</xdr:row>
      <xdr:rowOff>0</xdr:rowOff>
    </xdr:to>
    <xdr:sp>
      <xdr:nvSpPr>
        <xdr:cNvPr id="2" name="TextBox 65"/>
        <xdr:cNvSpPr txBox="1">
          <a:spLocks noChangeArrowheads="1"/>
        </xdr:cNvSpPr>
      </xdr:nvSpPr>
      <xdr:spPr>
        <a:xfrm>
          <a:off x="1209675" y="8620125"/>
          <a:ext cx="3933825" cy="3248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600075</xdr:colOff>
      <xdr:row>120</xdr:row>
      <xdr:rowOff>85725</xdr:rowOff>
    </xdr:from>
    <xdr:to>
      <xdr:col>6</xdr:col>
      <xdr:colOff>723900</xdr:colOff>
      <xdr:row>140</xdr:row>
      <xdr:rowOff>95250</xdr:rowOff>
    </xdr:to>
    <xdr:sp>
      <xdr:nvSpPr>
        <xdr:cNvPr id="3" name="TextBox 66"/>
        <xdr:cNvSpPr txBox="1">
          <a:spLocks noChangeArrowheads="1"/>
        </xdr:cNvSpPr>
      </xdr:nvSpPr>
      <xdr:spPr>
        <a:xfrm>
          <a:off x="1362075" y="19621500"/>
          <a:ext cx="3933825" cy="3248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3</xdr:col>
      <xdr:colOff>57150</xdr:colOff>
      <xdr:row>143</xdr:row>
      <xdr:rowOff>19050</xdr:rowOff>
    </xdr:from>
    <xdr:to>
      <xdr:col>8</xdr:col>
      <xdr:colOff>180975</xdr:colOff>
      <xdr:row>163</xdr:row>
      <xdr:rowOff>28575</xdr:rowOff>
    </xdr:to>
    <xdr:sp>
      <xdr:nvSpPr>
        <xdr:cNvPr id="4" name="TextBox 67"/>
        <xdr:cNvSpPr txBox="1">
          <a:spLocks noChangeArrowheads="1"/>
        </xdr:cNvSpPr>
      </xdr:nvSpPr>
      <xdr:spPr>
        <a:xfrm>
          <a:off x="2343150" y="23279100"/>
          <a:ext cx="3933825" cy="3248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514350</xdr:colOff>
      <xdr:row>205</xdr:row>
      <xdr:rowOff>152400</xdr:rowOff>
    </xdr:from>
    <xdr:to>
      <xdr:col>6</xdr:col>
      <xdr:colOff>638175</xdr:colOff>
      <xdr:row>222</xdr:row>
      <xdr:rowOff>9525</xdr:rowOff>
    </xdr:to>
    <xdr:sp>
      <xdr:nvSpPr>
        <xdr:cNvPr id="5" name="TextBox 68"/>
        <xdr:cNvSpPr txBox="1">
          <a:spLocks noChangeArrowheads="1"/>
        </xdr:cNvSpPr>
      </xdr:nvSpPr>
      <xdr:spPr>
        <a:xfrm>
          <a:off x="1276350" y="33537525"/>
          <a:ext cx="3933825" cy="2609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447675</xdr:colOff>
      <xdr:row>489</xdr:row>
      <xdr:rowOff>152400</xdr:rowOff>
    </xdr:from>
    <xdr:to>
      <xdr:col>6</xdr:col>
      <xdr:colOff>552450</xdr:colOff>
      <xdr:row>506</xdr:row>
      <xdr:rowOff>66675</xdr:rowOff>
    </xdr:to>
    <xdr:sp>
      <xdr:nvSpPr>
        <xdr:cNvPr id="6" name="TextBox 69"/>
        <xdr:cNvSpPr txBox="1">
          <a:spLocks noChangeArrowheads="1"/>
        </xdr:cNvSpPr>
      </xdr:nvSpPr>
      <xdr:spPr>
        <a:xfrm>
          <a:off x="1209675" y="80124300"/>
          <a:ext cx="3914775" cy="2667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7</xdr:col>
      <xdr:colOff>561975</xdr:colOff>
      <xdr:row>489</xdr:row>
      <xdr:rowOff>114300</xdr:rowOff>
    </xdr:from>
    <xdr:to>
      <xdr:col>12</xdr:col>
      <xdr:colOff>114300</xdr:colOff>
      <xdr:row>505</xdr:row>
      <xdr:rowOff>152400</xdr:rowOff>
    </xdr:to>
    <xdr:sp>
      <xdr:nvSpPr>
        <xdr:cNvPr id="7" name="TextBox 70"/>
        <xdr:cNvSpPr txBox="1">
          <a:spLocks noChangeArrowheads="1"/>
        </xdr:cNvSpPr>
      </xdr:nvSpPr>
      <xdr:spPr>
        <a:xfrm>
          <a:off x="5895975" y="80086200"/>
          <a:ext cx="3362325" cy="2628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447675</xdr:colOff>
      <xdr:row>531</xdr:row>
      <xdr:rowOff>152400</xdr:rowOff>
    </xdr:from>
    <xdr:to>
      <xdr:col>6</xdr:col>
      <xdr:colOff>571500</xdr:colOff>
      <xdr:row>552</xdr:row>
      <xdr:rowOff>0</xdr:rowOff>
    </xdr:to>
    <xdr:sp>
      <xdr:nvSpPr>
        <xdr:cNvPr id="8" name="TextBox 71"/>
        <xdr:cNvSpPr txBox="1">
          <a:spLocks noChangeArrowheads="1"/>
        </xdr:cNvSpPr>
      </xdr:nvSpPr>
      <xdr:spPr>
        <a:xfrm>
          <a:off x="1209675" y="86982300"/>
          <a:ext cx="3933825" cy="3248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447675</xdr:colOff>
      <xdr:row>571</xdr:row>
      <xdr:rowOff>152400</xdr:rowOff>
    </xdr:from>
    <xdr:to>
      <xdr:col>6</xdr:col>
      <xdr:colOff>571500</xdr:colOff>
      <xdr:row>587</xdr:row>
      <xdr:rowOff>152400</xdr:rowOff>
    </xdr:to>
    <xdr:sp>
      <xdr:nvSpPr>
        <xdr:cNvPr id="9" name="TextBox 72"/>
        <xdr:cNvSpPr txBox="1">
          <a:spLocks noChangeArrowheads="1"/>
        </xdr:cNvSpPr>
      </xdr:nvSpPr>
      <xdr:spPr>
        <a:xfrm>
          <a:off x="1209675" y="93516450"/>
          <a:ext cx="3933825" cy="2590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5</xdr:col>
      <xdr:colOff>447675</xdr:colOff>
      <xdr:row>594</xdr:row>
      <xdr:rowOff>152400</xdr:rowOff>
    </xdr:from>
    <xdr:to>
      <xdr:col>10</xdr:col>
      <xdr:colOff>571500</xdr:colOff>
      <xdr:row>610</xdr:row>
      <xdr:rowOff>123825</xdr:rowOff>
    </xdr:to>
    <xdr:sp>
      <xdr:nvSpPr>
        <xdr:cNvPr id="10" name="TextBox 73"/>
        <xdr:cNvSpPr txBox="1">
          <a:spLocks noChangeArrowheads="1"/>
        </xdr:cNvSpPr>
      </xdr:nvSpPr>
      <xdr:spPr>
        <a:xfrm>
          <a:off x="4257675" y="97240725"/>
          <a:ext cx="3933825" cy="2590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447675</xdr:colOff>
      <xdr:row>635</xdr:row>
      <xdr:rowOff>152400</xdr:rowOff>
    </xdr:from>
    <xdr:to>
      <xdr:col>6</xdr:col>
      <xdr:colOff>571500</xdr:colOff>
      <xdr:row>651</xdr:row>
      <xdr:rowOff>152400</xdr:rowOff>
    </xdr:to>
    <xdr:sp>
      <xdr:nvSpPr>
        <xdr:cNvPr id="11" name="TextBox 74"/>
        <xdr:cNvSpPr txBox="1">
          <a:spLocks noChangeArrowheads="1"/>
        </xdr:cNvSpPr>
      </xdr:nvSpPr>
      <xdr:spPr>
        <a:xfrm>
          <a:off x="1209675" y="103936800"/>
          <a:ext cx="3933825" cy="2590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447675</xdr:colOff>
      <xdr:row>674</xdr:row>
      <xdr:rowOff>152400</xdr:rowOff>
    </xdr:from>
    <xdr:to>
      <xdr:col>6</xdr:col>
      <xdr:colOff>571500</xdr:colOff>
      <xdr:row>690</xdr:row>
      <xdr:rowOff>152400</xdr:rowOff>
    </xdr:to>
    <xdr:sp>
      <xdr:nvSpPr>
        <xdr:cNvPr id="12" name="TextBox 75"/>
        <xdr:cNvSpPr txBox="1">
          <a:spLocks noChangeArrowheads="1"/>
        </xdr:cNvSpPr>
      </xdr:nvSpPr>
      <xdr:spPr>
        <a:xfrm>
          <a:off x="1209675" y="110280450"/>
          <a:ext cx="3933825" cy="2590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twoCellAnchor>
    <xdr:from>
      <xdr:col>1</xdr:col>
      <xdr:colOff>447675</xdr:colOff>
      <xdr:row>728</xdr:row>
      <xdr:rowOff>152400</xdr:rowOff>
    </xdr:from>
    <xdr:to>
      <xdr:col>6</xdr:col>
      <xdr:colOff>571500</xdr:colOff>
      <xdr:row>744</xdr:row>
      <xdr:rowOff>152400</xdr:rowOff>
    </xdr:to>
    <xdr:sp>
      <xdr:nvSpPr>
        <xdr:cNvPr id="13" name="TextBox 76"/>
        <xdr:cNvSpPr txBox="1">
          <a:spLocks noChangeArrowheads="1"/>
        </xdr:cNvSpPr>
      </xdr:nvSpPr>
      <xdr:spPr>
        <a:xfrm>
          <a:off x="1209675" y="119100600"/>
          <a:ext cx="3933825" cy="2590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800" b="1" i="0" u="none" baseline="0">
              <a:solidFill>
                <a:srgbClr val="008000"/>
              </a:solidFill>
              <a:latin typeface="Arial"/>
              <a:ea typeface="Arial"/>
              <a:cs typeface="Arial"/>
            </a:rPr>
            <a:t>Espacio para el gráfico.</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0.14275</cdr:x>
      <cdr:y>0.714</cdr:y>
    </cdr:from>
    <cdr:to>
      <cdr:x>0.21625</cdr:x>
      <cdr:y>0.814</cdr:y>
    </cdr:to>
    <cdr:sp>
      <cdr:nvSpPr>
        <cdr:cNvPr id="1" name="Line 1"/>
        <cdr:cNvSpPr>
          <a:spLocks/>
        </cdr:cNvSpPr>
      </cdr:nvSpPr>
      <cdr:spPr>
        <a:xfrm flipV="1">
          <a:off x="762000" y="2514600"/>
          <a:ext cx="390525" cy="352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0.21625</cdr:x>
      <cdr:y>0.69875</cdr:y>
    </cdr:from>
    <cdr:to>
      <cdr:x>0.2855</cdr:x>
      <cdr:y>0.714</cdr:y>
    </cdr:to>
    <cdr:sp>
      <cdr:nvSpPr>
        <cdr:cNvPr id="2" name="Line 2"/>
        <cdr:cNvSpPr>
          <a:spLocks/>
        </cdr:cNvSpPr>
      </cdr:nvSpPr>
      <cdr:spPr>
        <a:xfrm flipV="1">
          <a:off x="1152525" y="2466975"/>
          <a:ext cx="371475"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0.69875</cdr:y>
    </cdr:from>
    <cdr:to>
      <cdr:x>0.35025</cdr:x>
      <cdr:y>0.7445</cdr:y>
    </cdr:to>
    <cdr:sp>
      <cdr:nvSpPr>
        <cdr:cNvPr id="3" name="Line 3"/>
        <cdr:cNvSpPr>
          <a:spLocks/>
        </cdr:cNvSpPr>
      </cdr:nvSpPr>
      <cdr:spPr>
        <a:xfrm>
          <a:off x="1524000" y="2466975"/>
          <a:ext cx="34290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0.35025</cdr:x>
      <cdr:y>0.55725</cdr:y>
    </cdr:from>
    <cdr:to>
      <cdr:x>0.415</cdr:x>
      <cdr:y>0.7445</cdr:y>
    </cdr:to>
    <cdr:sp>
      <cdr:nvSpPr>
        <cdr:cNvPr id="4" name="Line 4"/>
        <cdr:cNvSpPr>
          <a:spLocks/>
        </cdr:cNvSpPr>
      </cdr:nvSpPr>
      <cdr:spPr>
        <a:xfrm flipV="1">
          <a:off x="1866900" y="1962150"/>
          <a:ext cx="342900" cy="657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cdr:x>
      <cdr:y>0.37625</cdr:y>
    </cdr:from>
    <cdr:to>
      <cdr:x>0.4815</cdr:x>
      <cdr:y>0.55725</cdr:y>
    </cdr:to>
    <cdr:sp>
      <cdr:nvSpPr>
        <cdr:cNvPr id="5" name="Line 5"/>
        <cdr:cNvSpPr>
          <a:spLocks/>
        </cdr:cNvSpPr>
      </cdr:nvSpPr>
      <cdr:spPr>
        <a:xfrm flipV="1">
          <a:off x="2209800" y="1323975"/>
          <a:ext cx="352425" cy="638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0.4815</cdr:x>
      <cdr:y>0.21425</cdr:y>
    </cdr:from>
    <cdr:to>
      <cdr:x>0.5455</cdr:x>
      <cdr:y>0.37625</cdr:y>
    </cdr:to>
    <cdr:sp>
      <cdr:nvSpPr>
        <cdr:cNvPr id="6" name="Line 6"/>
        <cdr:cNvSpPr>
          <a:spLocks/>
        </cdr:cNvSpPr>
      </cdr:nvSpPr>
      <cdr:spPr>
        <a:xfrm flipV="1">
          <a:off x="2571750" y="752475"/>
          <a:ext cx="342900" cy="571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0.5455</cdr:x>
      <cdr:y>0.21425</cdr:y>
    </cdr:from>
    <cdr:to>
      <cdr:x>0.613</cdr:x>
      <cdr:y>0.35025</cdr:y>
    </cdr:to>
    <cdr:sp>
      <cdr:nvSpPr>
        <cdr:cNvPr id="7" name="Line 7"/>
        <cdr:cNvSpPr>
          <a:spLocks/>
        </cdr:cNvSpPr>
      </cdr:nvSpPr>
      <cdr:spPr>
        <a:xfrm>
          <a:off x="2914650" y="752475"/>
          <a:ext cx="36195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cdr:x>
      <cdr:y>0.35025</cdr:y>
    </cdr:from>
    <cdr:to>
      <cdr:x>0.67875</cdr:x>
      <cdr:y>0.55725</cdr:y>
    </cdr:to>
    <cdr:sp>
      <cdr:nvSpPr>
        <cdr:cNvPr id="8" name="Line 8"/>
        <cdr:cNvSpPr>
          <a:spLocks/>
        </cdr:cNvSpPr>
      </cdr:nvSpPr>
      <cdr:spPr>
        <a:xfrm>
          <a:off x="3267075" y="1228725"/>
          <a:ext cx="352425" cy="733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0.67875</cdr:x>
      <cdr:y>0.55725</cdr:y>
    </cdr:from>
    <cdr:to>
      <cdr:x>0.7505</cdr:x>
      <cdr:y>0.7445</cdr:y>
    </cdr:to>
    <cdr:sp>
      <cdr:nvSpPr>
        <cdr:cNvPr id="9" name="Line 9"/>
        <cdr:cNvSpPr>
          <a:spLocks/>
        </cdr:cNvSpPr>
      </cdr:nvSpPr>
      <cdr:spPr>
        <a:xfrm>
          <a:off x="3619500" y="1962150"/>
          <a:ext cx="381000" cy="657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0.7505</cdr:x>
      <cdr:y>0.6805</cdr:y>
    </cdr:from>
    <cdr:to>
      <cdr:x>0.816</cdr:x>
      <cdr:y>0.7445</cdr:y>
    </cdr:to>
    <cdr:sp>
      <cdr:nvSpPr>
        <cdr:cNvPr id="10" name="Line 10"/>
        <cdr:cNvSpPr>
          <a:spLocks/>
        </cdr:cNvSpPr>
      </cdr:nvSpPr>
      <cdr:spPr>
        <a:xfrm flipV="1">
          <a:off x="4010025" y="2400300"/>
          <a:ext cx="352425"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0.816</cdr:x>
      <cdr:y>0.6805</cdr:y>
    </cdr:from>
    <cdr:to>
      <cdr:x>0.88175</cdr:x>
      <cdr:y>0.76525</cdr:y>
    </cdr:to>
    <cdr:sp>
      <cdr:nvSpPr>
        <cdr:cNvPr id="11" name="Line 11"/>
        <cdr:cNvSpPr>
          <a:spLocks/>
        </cdr:cNvSpPr>
      </cdr:nvSpPr>
      <cdr:spPr>
        <a:xfrm>
          <a:off x="4352925" y="2400300"/>
          <a:ext cx="352425" cy="295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0.88175</cdr:x>
      <cdr:y>0.76525</cdr:y>
    </cdr:from>
    <cdr:to>
      <cdr:x>0.95175</cdr:x>
      <cdr:y>0.814</cdr:y>
    </cdr:to>
    <cdr:sp>
      <cdr:nvSpPr>
        <cdr:cNvPr id="12" name="Line 12"/>
        <cdr:cNvSpPr>
          <a:spLocks/>
        </cdr:cNvSpPr>
      </cdr:nvSpPr>
      <cdr:spPr>
        <a:xfrm>
          <a:off x="4705350" y="2695575"/>
          <a:ext cx="371475"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0.5465</cdr:x>
      <cdr:y>0.2155</cdr:y>
    </cdr:from>
    <cdr:to>
      <cdr:x>0.5465</cdr:x>
      <cdr:y>0.81525</cdr:y>
    </cdr:to>
    <cdr:sp>
      <cdr:nvSpPr>
        <cdr:cNvPr id="13" name="Line 13"/>
        <cdr:cNvSpPr>
          <a:spLocks/>
        </cdr:cNvSpPr>
      </cdr:nvSpPr>
      <cdr:spPr>
        <a:xfrm flipV="1">
          <a:off x="2914650" y="752475"/>
          <a:ext cx="0" cy="2124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0.765</cdr:x>
      <cdr:y>0.37875</cdr:y>
    </cdr:from>
    <cdr:to>
      <cdr:x>0.90675</cdr:x>
      <cdr:y>0.492</cdr:y>
    </cdr:to>
    <cdr:sp>
      <cdr:nvSpPr>
        <cdr:cNvPr id="14" name="AutoShape 15"/>
        <cdr:cNvSpPr>
          <a:spLocks/>
        </cdr:cNvSpPr>
      </cdr:nvSpPr>
      <cdr:spPr>
        <a:xfrm>
          <a:off x="4086225" y="1333500"/>
          <a:ext cx="762000" cy="400050"/>
        </a:xfrm>
        <a:prstGeom prst="borderCallout2">
          <a:avLst>
            <a:gd name="adj1" fmla="val -204541"/>
            <a:gd name="adj2" fmla="val 335740"/>
            <a:gd name="adj3" fmla="val -132472"/>
            <a:gd name="adj4" fmla="val -20731"/>
            <a:gd name="adj5" fmla="val -60398"/>
            <a:gd name="adj6" fmla="val -20731"/>
            <a:gd name="adj7" fmla="val -204550"/>
            <a:gd name="adj8" fmla="val 335731"/>
          </a:avLst>
        </a:prstGeom>
        <a:solidFill>
          <a:srgbClr val="FFFFFF"/>
        </a:solidFill>
        <a:ln w="9525" cmpd="sng">
          <a:solidFill>
            <a:srgbClr val="000000"/>
          </a:solidFill>
          <a:headEnd type="triangle"/>
          <a:tailEnd type="none"/>
        </a:ln>
      </cdr:spPr>
      <cdr:txBody>
        <a:bodyPr vertOverflow="clip" wrap="square"/>
        <a:p>
          <a:pPr algn="l">
            <a:defRPr/>
          </a:pPr>
          <a:r>
            <a:rPr lang="en-US" cap="none" sz="1000" b="1" i="0" u="none" baseline="0">
              <a:latin typeface="Arial"/>
              <a:ea typeface="Arial"/>
              <a:cs typeface="Arial"/>
            </a:rPr>
            <a:t>Promedio:
3,451</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cdr:x>
      <cdr:y>0.41925</cdr:y>
    </cdr:from>
    <cdr:to>
      <cdr:x>0.25775</cdr:x>
      <cdr:y>0.70525</cdr:y>
    </cdr:to>
    <cdr:sp>
      <cdr:nvSpPr>
        <cdr:cNvPr id="1" name="Line 1"/>
        <cdr:cNvSpPr>
          <a:spLocks/>
        </cdr:cNvSpPr>
      </cdr:nvSpPr>
      <cdr:spPr>
        <a:xfrm flipV="1">
          <a:off x="781050" y="1123950"/>
          <a:ext cx="171450" cy="7715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0.25775</cdr:x>
      <cdr:y>0.41925</cdr:y>
    </cdr:from>
    <cdr:to>
      <cdr:x>0.30325</cdr:x>
      <cdr:y>0.6845</cdr:y>
    </cdr:to>
    <cdr:sp>
      <cdr:nvSpPr>
        <cdr:cNvPr id="2" name="Line 2"/>
        <cdr:cNvSpPr>
          <a:spLocks/>
        </cdr:cNvSpPr>
      </cdr:nvSpPr>
      <cdr:spPr>
        <a:xfrm>
          <a:off x="952500" y="1123950"/>
          <a:ext cx="171450" cy="7143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0.41675</cdr:x>
      <cdr:y>0.268</cdr:y>
    </cdr:from>
    <cdr:to>
      <cdr:x>0.46225</cdr:x>
      <cdr:y>0.6845</cdr:y>
    </cdr:to>
    <cdr:sp>
      <cdr:nvSpPr>
        <cdr:cNvPr id="3" name="Line 3"/>
        <cdr:cNvSpPr>
          <a:spLocks/>
        </cdr:cNvSpPr>
      </cdr:nvSpPr>
      <cdr:spPr>
        <a:xfrm flipV="1">
          <a:off x="1533525" y="714375"/>
          <a:ext cx="171450" cy="11239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0.46225</cdr:x>
      <cdr:y>0.268</cdr:y>
    </cdr:from>
    <cdr:to>
      <cdr:x>0.508</cdr:x>
      <cdr:y>0.63975</cdr:y>
    </cdr:to>
    <cdr:sp>
      <cdr:nvSpPr>
        <cdr:cNvPr id="4" name="Line 4"/>
        <cdr:cNvSpPr>
          <a:spLocks/>
        </cdr:cNvSpPr>
      </cdr:nvSpPr>
      <cdr:spPr>
        <a:xfrm>
          <a:off x="1704975" y="714375"/>
          <a:ext cx="171450" cy="10001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0.62375</cdr:x>
      <cdr:y>0.268</cdr:y>
    </cdr:from>
    <cdr:to>
      <cdr:x>0.66375</cdr:x>
      <cdr:y>0.63975</cdr:y>
    </cdr:to>
    <cdr:sp>
      <cdr:nvSpPr>
        <cdr:cNvPr id="5" name="Line 5"/>
        <cdr:cNvSpPr>
          <a:spLocks/>
        </cdr:cNvSpPr>
      </cdr:nvSpPr>
      <cdr:spPr>
        <a:xfrm flipV="1">
          <a:off x="2305050" y="714375"/>
          <a:ext cx="152400" cy="10001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0.66375</cdr:x>
      <cdr:y>0.268</cdr:y>
    </cdr:from>
    <cdr:to>
      <cdr:x>0.70925</cdr:x>
      <cdr:y>0.63975</cdr:y>
    </cdr:to>
    <cdr:sp>
      <cdr:nvSpPr>
        <cdr:cNvPr id="6" name="Line 6"/>
        <cdr:cNvSpPr>
          <a:spLocks/>
        </cdr:cNvSpPr>
      </cdr:nvSpPr>
      <cdr:spPr>
        <a:xfrm>
          <a:off x="2447925" y="714375"/>
          <a:ext cx="171450" cy="10001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0.817</cdr:x>
      <cdr:y>0.4845</cdr:y>
    </cdr:from>
    <cdr:to>
      <cdr:x>0.86825</cdr:x>
      <cdr:y>0.6845</cdr:y>
    </cdr:to>
    <cdr:sp>
      <cdr:nvSpPr>
        <cdr:cNvPr id="7" name="Line 7"/>
        <cdr:cNvSpPr>
          <a:spLocks/>
        </cdr:cNvSpPr>
      </cdr:nvSpPr>
      <cdr:spPr>
        <a:xfrm flipV="1">
          <a:off x="3009900" y="1304925"/>
          <a:ext cx="190500" cy="5429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0.86825</cdr:x>
      <cdr:y>0.4845</cdr:y>
    </cdr:from>
    <cdr:to>
      <cdr:x>0.914</cdr:x>
      <cdr:y>0.63975</cdr:y>
    </cdr:to>
    <cdr:sp>
      <cdr:nvSpPr>
        <cdr:cNvPr id="8" name="Line 8"/>
        <cdr:cNvSpPr>
          <a:spLocks/>
        </cdr:cNvSpPr>
      </cdr:nvSpPr>
      <cdr:spPr>
        <a:xfrm>
          <a:off x="3200400" y="1304925"/>
          <a:ext cx="171450" cy="4191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0.206</cdr:x>
      <cdr:y>0.47075</cdr:y>
    </cdr:from>
    <cdr:to>
      <cdr:x>0.24475</cdr:x>
      <cdr:y>0.581</cdr:y>
    </cdr:to>
    <cdr:sp>
      <cdr:nvSpPr>
        <cdr:cNvPr id="1" name="Line 1"/>
        <cdr:cNvSpPr>
          <a:spLocks/>
        </cdr:cNvSpPr>
      </cdr:nvSpPr>
      <cdr:spPr>
        <a:xfrm flipV="1">
          <a:off x="838200" y="1457325"/>
          <a:ext cx="161925" cy="3429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0.24475</cdr:x>
      <cdr:y>0.47075</cdr:y>
    </cdr:from>
    <cdr:to>
      <cdr:x>0.2985</cdr:x>
      <cdr:y>0.6215</cdr:y>
    </cdr:to>
    <cdr:sp>
      <cdr:nvSpPr>
        <cdr:cNvPr id="2" name="Line 2"/>
        <cdr:cNvSpPr>
          <a:spLocks/>
        </cdr:cNvSpPr>
      </cdr:nvSpPr>
      <cdr:spPr>
        <a:xfrm>
          <a:off x="1000125" y="1457325"/>
          <a:ext cx="219075" cy="4667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0.4125</cdr:x>
      <cdr:y>0.32675</cdr:y>
    </cdr:from>
    <cdr:to>
      <cdr:x>0.45875</cdr:x>
      <cdr:y>0.38175</cdr:y>
    </cdr:to>
    <cdr:sp>
      <cdr:nvSpPr>
        <cdr:cNvPr id="3" name="Line 3"/>
        <cdr:cNvSpPr>
          <a:spLocks/>
        </cdr:cNvSpPr>
      </cdr:nvSpPr>
      <cdr:spPr>
        <a:xfrm flipV="1">
          <a:off x="1685925" y="1009650"/>
          <a:ext cx="190500" cy="1714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0.45875</cdr:x>
      <cdr:y>0.32675</cdr:y>
    </cdr:from>
    <cdr:to>
      <cdr:x>0.50025</cdr:x>
      <cdr:y>0.55325</cdr:y>
    </cdr:to>
    <cdr:sp>
      <cdr:nvSpPr>
        <cdr:cNvPr id="4" name="Line 4"/>
        <cdr:cNvSpPr>
          <a:spLocks/>
        </cdr:cNvSpPr>
      </cdr:nvSpPr>
      <cdr:spPr>
        <a:xfrm>
          <a:off x="1876425" y="1009650"/>
          <a:ext cx="171450" cy="7048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0.62325</cdr:x>
      <cdr:y>0.21375</cdr:y>
    </cdr:from>
    <cdr:to>
      <cdr:x>0.66725</cdr:x>
      <cdr:y>0.55325</cdr:y>
    </cdr:to>
    <cdr:sp>
      <cdr:nvSpPr>
        <cdr:cNvPr id="5" name="Line 5"/>
        <cdr:cNvSpPr>
          <a:spLocks/>
        </cdr:cNvSpPr>
      </cdr:nvSpPr>
      <cdr:spPr>
        <a:xfrm flipV="1">
          <a:off x="2543175" y="657225"/>
          <a:ext cx="180975" cy="1057275"/>
        </a:xfrm>
        <a:prstGeom prst="line">
          <a:avLst/>
        </a:prstGeom>
        <a:noFill/>
        <a:ln w="9525" cmpd="sng">
          <a:solidFill>
            <a:srgbClr val="00FF0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0.21375</cdr:y>
    </cdr:from>
    <cdr:to>
      <cdr:x>0.71</cdr:x>
      <cdr:y>0.47075</cdr:y>
    </cdr:to>
    <cdr:sp>
      <cdr:nvSpPr>
        <cdr:cNvPr id="6" name="Line 6"/>
        <cdr:cNvSpPr>
          <a:spLocks/>
        </cdr:cNvSpPr>
      </cdr:nvSpPr>
      <cdr:spPr>
        <a:xfrm>
          <a:off x="2724150" y="657225"/>
          <a:ext cx="171450" cy="800100"/>
        </a:xfrm>
        <a:prstGeom prst="line">
          <a:avLst/>
        </a:prstGeom>
        <a:noFill/>
        <a:ln w="9525" cmpd="sng">
          <a:solidFill>
            <a:srgbClr val="00FF0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0.8315</cdr:x>
      <cdr:y>0.44675</cdr:y>
    </cdr:from>
    <cdr:to>
      <cdr:x>0.87375</cdr:x>
      <cdr:y>0.581</cdr:y>
    </cdr:to>
    <cdr:sp>
      <cdr:nvSpPr>
        <cdr:cNvPr id="7" name="Line 7"/>
        <cdr:cNvSpPr>
          <a:spLocks/>
        </cdr:cNvSpPr>
      </cdr:nvSpPr>
      <cdr:spPr>
        <a:xfrm flipV="1">
          <a:off x="3400425" y="1381125"/>
          <a:ext cx="171450" cy="4191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0.87375</cdr:x>
      <cdr:y>0.44675</cdr:y>
    </cdr:from>
    <cdr:to>
      <cdr:x>0.9185</cdr:x>
      <cdr:y>0.643</cdr:y>
    </cdr:to>
    <cdr:sp>
      <cdr:nvSpPr>
        <cdr:cNvPr id="8" name="Line 8"/>
        <cdr:cNvSpPr>
          <a:spLocks/>
        </cdr:cNvSpPr>
      </cdr:nvSpPr>
      <cdr:spPr>
        <a:xfrm>
          <a:off x="3571875" y="1381125"/>
          <a:ext cx="180975" cy="6096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0.24175</cdr:x>
      <cdr:y>0.6455</cdr:y>
    </cdr:from>
    <cdr:to>
      <cdr:x>0.2975</cdr:x>
      <cdr:y>0.738</cdr:y>
    </cdr:to>
    <cdr:sp>
      <cdr:nvSpPr>
        <cdr:cNvPr id="1" name="Line 1"/>
        <cdr:cNvSpPr>
          <a:spLocks/>
        </cdr:cNvSpPr>
      </cdr:nvSpPr>
      <cdr:spPr>
        <a:xfrm>
          <a:off x="971550" y="1847850"/>
          <a:ext cx="228600" cy="266700"/>
        </a:xfrm>
        <a:prstGeom prst="line">
          <a:avLst/>
        </a:prstGeom>
        <a:noFill/>
        <a:ln w="28575" cmpd="sng">
          <a:solidFill>
            <a:srgbClr val="00FF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0.2975</cdr:x>
      <cdr:y>0.6825</cdr:y>
    </cdr:from>
    <cdr:to>
      <cdr:x>0.367</cdr:x>
      <cdr:y>0.738</cdr:y>
    </cdr:to>
    <cdr:sp>
      <cdr:nvSpPr>
        <cdr:cNvPr id="2" name="Line 2"/>
        <cdr:cNvSpPr>
          <a:spLocks/>
        </cdr:cNvSpPr>
      </cdr:nvSpPr>
      <cdr:spPr>
        <a:xfrm flipV="1">
          <a:off x="1200150" y="1952625"/>
          <a:ext cx="285750" cy="161925"/>
        </a:xfrm>
        <a:prstGeom prst="line">
          <a:avLst/>
        </a:prstGeom>
        <a:noFill/>
        <a:ln w="28575" cmpd="sng">
          <a:solidFill>
            <a:srgbClr val="00FF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0.509</cdr:x>
      <cdr:y>0.2805</cdr:y>
    </cdr:from>
    <cdr:to>
      <cdr:x>0.57225</cdr:x>
      <cdr:y>0.454</cdr:y>
    </cdr:to>
    <cdr:sp>
      <cdr:nvSpPr>
        <cdr:cNvPr id="3" name="Line 3"/>
        <cdr:cNvSpPr>
          <a:spLocks/>
        </cdr:cNvSpPr>
      </cdr:nvSpPr>
      <cdr:spPr>
        <a:xfrm flipV="1">
          <a:off x="2057400" y="800100"/>
          <a:ext cx="257175" cy="4953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0.2805</cdr:y>
    </cdr:from>
    <cdr:to>
      <cdr:x>0.62625</cdr:x>
      <cdr:y>0.5485</cdr:y>
    </cdr:to>
    <cdr:sp>
      <cdr:nvSpPr>
        <cdr:cNvPr id="4" name="Line 4"/>
        <cdr:cNvSpPr>
          <a:spLocks/>
        </cdr:cNvSpPr>
      </cdr:nvSpPr>
      <cdr:spPr>
        <a:xfrm>
          <a:off x="2314575" y="800100"/>
          <a:ext cx="219075" cy="7715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0.7635</cdr:x>
      <cdr:y>0.5775</cdr:y>
    </cdr:from>
    <cdr:to>
      <cdr:x>0.842</cdr:x>
      <cdr:y>0.738</cdr:y>
    </cdr:to>
    <cdr:sp>
      <cdr:nvSpPr>
        <cdr:cNvPr id="5" name="Line 5"/>
        <cdr:cNvSpPr>
          <a:spLocks/>
        </cdr:cNvSpPr>
      </cdr:nvSpPr>
      <cdr:spPr>
        <a:xfrm flipV="1">
          <a:off x="3086100" y="1647825"/>
          <a:ext cx="314325" cy="457200"/>
        </a:xfrm>
        <a:prstGeom prst="line">
          <a:avLst/>
        </a:prstGeom>
        <a:noFill/>
        <a:ln w="19050" cmpd="sng">
          <a:solidFill>
            <a:srgbClr val="FFFF0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0.842</cdr:x>
      <cdr:y>0.5775</cdr:y>
    </cdr:from>
    <cdr:to>
      <cdr:x>0.89925</cdr:x>
      <cdr:y>0.6825</cdr:y>
    </cdr:to>
    <cdr:sp>
      <cdr:nvSpPr>
        <cdr:cNvPr id="6" name="Line 6"/>
        <cdr:cNvSpPr>
          <a:spLocks/>
        </cdr:cNvSpPr>
      </cdr:nvSpPr>
      <cdr:spPr>
        <a:xfrm>
          <a:off x="3400425" y="1647825"/>
          <a:ext cx="228600" cy="304800"/>
        </a:xfrm>
        <a:prstGeom prst="line">
          <a:avLst/>
        </a:prstGeom>
        <a:noFill/>
        <a:ln w="19050" cmpd="sng">
          <a:solidFill>
            <a:srgbClr val="FFFF0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295275</xdr:colOff>
      <xdr:row>27</xdr:row>
      <xdr:rowOff>114300</xdr:rowOff>
    </xdr:from>
    <xdr:to>
      <xdr:col>9</xdr:col>
      <xdr:colOff>133350</xdr:colOff>
      <xdr:row>30</xdr:row>
      <xdr:rowOff>28575</xdr:rowOff>
    </xdr:to>
    <xdr:pic>
      <xdr:nvPicPr>
        <xdr:cNvPr id="1" name="Picture 1"/>
        <xdr:cNvPicPr preferRelativeResize="1">
          <a:picLocks noChangeAspect="1"/>
        </xdr:cNvPicPr>
      </xdr:nvPicPr>
      <xdr:blipFill>
        <a:blip r:embed="rId1"/>
        <a:stretch>
          <a:fillRect/>
        </a:stretch>
      </xdr:blipFill>
      <xdr:spPr>
        <a:xfrm>
          <a:off x="3962400" y="4505325"/>
          <a:ext cx="3648075" cy="400050"/>
        </a:xfrm>
        <a:prstGeom prst="rect">
          <a:avLst/>
        </a:prstGeom>
        <a:solidFill>
          <a:srgbClr val="FFFF00"/>
        </a:solidFill>
        <a:ln w="9525" cmpd="sng">
          <a:solidFill>
            <a:srgbClr val="FF00FF"/>
          </a:solidFill>
          <a:headEnd type="none"/>
          <a:tailEnd type="none"/>
        </a:ln>
      </xdr:spPr>
    </xdr:pic>
    <xdr:clientData/>
  </xdr:twoCellAnchor>
  <xdr:twoCellAnchor editAs="oneCell">
    <xdr:from>
      <xdr:col>4</xdr:col>
      <xdr:colOff>438150</xdr:colOff>
      <xdr:row>30</xdr:row>
      <xdr:rowOff>95250</xdr:rowOff>
    </xdr:from>
    <xdr:to>
      <xdr:col>8</xdr:col>
      <xdr:colOff>38100</xdr:colOff>
      <xdr:row>32</xdr:row>
      <xdr:rowOff>114300</xdr:rowOff>
    </xdr:to>
    <xdr:pic>
      <xdr:nvPicPr>
        <xdr:cNvPr id="2" name="Picture 2"/>
        <xdr:cNvPicPr preferRelativeResize="1">
          <a:picLocks noChangeAspect="1"/>
        </xdr:cNvPicPr>
      </xdr:nvPicPr>
      <xdr:blipFill>
        <a:blip r:embed="rId2"/>
        <a:stretch>
          <a:fillRect/>
        </a:stretch>
      </xdr:blipFill>
      <xdr:spPr>
        <a:xfrm>
          <a:off x="4105275" y="4972050"/>
          <a:ext cx="2647950" cy="342900"/>
        </a:xfrm>
        <a:prstGeom prst="rect">
          <a:avLst/>
        </a:prstGeom>
        <a:solidFill>
          <a:srgbClr val="CCFFCC"/>
        </a:solidFill>
        <a:ln w="9525" cmpd="sng">
          <a:solidFill>
            <a:srgbClr val="FF00FF"/>
          </a:solidFill>
          <a:headEnd type="none"/>
          <a:tailEnd type="none"/>
        </a:ln>
      </xdr:spPr>
    </xdr:pic>
    <xdr:clientData/>
  </xdr:twoCellAnchor>
  <xdr:twoCellAnchor editAs="oneCell">
    <xdr:from>
      <xdr:col>5</xdr:col>
      <xdr:colOff>342900</xdr:colOff>
      <xdr:row>35</xdr:row>
      <xdr:rowOff>38100</xdr:rowOff>
    </xdr:from>
    <xdr:to>
      <xdr:col>9</xdr:col>
      <xdr:colOff>561975</xdr:colOff>
      <xdr:row>36</xdr:row>
      <xdr:rowOff>152400</xdr:rowOff>
    </xdr:to>
    <xdr:pic>
      <xdr:nvPicPr>
        <xdr:cNvPr id="3" name="Picture 3"/>
        <xdr:cNvPicPr preferRelativeResize="1">
          <a:picLocks noChangeAspect="1"/>
        </xdr:cNvPicPr>
      </xdr:nvPicPr>
      <xdr:blipFill>
        <a:blip r:embed="rId3"/>
        <a:stretch>
          <a:fillRect/>
        </a:stretch>
      </xdr:blipFill>
      <xdr:spPr>
        <a:xfrm>
          <a:off x="4772025" y="5724525"/>
          <a:ext cx="3267075" cy="276225"/>
        </a:xfrm>
        <a:prstGeom prst="rect">
          <a:avLst/>
        </a:prstGeom>
        <a:solidFill>
          <a:srgbClr val="FFCC99"/>
        </a:solidFill>
        <a:ln w="9525" cmpd="sng">
          <a:solidFill>
            <a:srgbClr val="FF00FF"/>
          </a:solidFill>
          <a:headEnd type="none"/>
          <a:tailEnd type="none"/>
        </a:ln>
      </xdr:spPr>
    </xdr:pic>
    <xdr:clientData/>
  </xdr:twoCellAnchor>
  <xdr:twoCellAnchor editAs="oneCell">
    <xdr:from>
      <xdr:col>5</xdr:col>
      <xdr:colOff>352425</xdr:colOff>
      <xdr:row>37</xdr:row>
      <xdr:rowOff>38100</xdr:rowOff>
    </xdr:from>
    <xdr:to>
      <xdr:col>10</xdr:col>
      <xdr:colOff>695325</xdr:colOff>
      <xdr:row>39</xdr:row>
      <xdr:rowOff>85725</xdr:rowOff>
    </xdr:to>
    <xdr:pic>
      <xdr:nvPicPr>
        <xdr:cNvPr id="4" name="Picture 4"/>
        <xdr:cNvPicPr preferRelativeResize="1">
          <a:picLocks noChangeAspect="1"/>
        </xdr:cNvPicPr>
      </xdr:nvPicPr>
      <xdr:blipFill>
        <a:blip r:embed="rId4"/>
        <a:stretch>
          <a:fillRect/>
        </a:stretch>
      </xdr:blipFill>
      <xdr:spPr>
        <a:xfrm>
          <a:off x="4781550" y="6057900"/>
          <a:ext cx="4152900" cy="381000"/>
        </a:xfrm>
        <a:prstGeom prst="rect">
          <a:avLst/>
        </a:prstGeom>
        <a:solidFill>
          <a:srgbClr val="FFFF99"/>
        </a:solidFill>
        <a:ln w="9525" cmpd="sng">
          <a:solidFill>
            <a:srgbClr val="FF00FF"/>
          </a:solidFill>
          <a:headEnd type="none"/>
          <a:tailEnd type="none"/>
        </a:ln>
      </xdr:spPr>
    </xdr:pic>
    <xdr:clientData/>
  </xdr:twoCellAnchor>
  <xdr:twoCellAnchor editAs="oneCell">
    <xdr:from>
      <xdr:col>5</xdr:col>
      <xdr:colOff>381000</xdr:colOff>
      <xdr:row>39</xdr:row>
      <xdr:rowOff>152400</xdr:rowOff>
    </xdr:from>
    <xdr:to>
      <xdr:col>8</xdr:col>
      <xdr:colOff>95250</xdr:colOff>
      <xdr:row>41</xdr:row>
      <xdr:rowOff>142875</xdr:rowOff>
    </xdr:to>
    <xdr:pic>
      <xdr:nvPicPr>
        <xdr:cNvPr id="5" name="Picture 5"/>
        <xdr:cNvPicPr preferRelativeResize="1">
          <a:picLocks noChangeAspect="1"/>
        </xdr:cNvPicPr>
      </xdr:nvPicPr>
      <xdr:blipFill>
        <a:blip r:embed="rId5"/>
        <a:stretch>
          <a:fillRect/>
        </a:stretch>
      </xdr:blipFill>
      <xdr:spPr>
        <a:xfrm>
          <a:off x="4810125" y="6505575"/>
          <a:ext cx="2000250" cy="314325"/>
        </a:xfrm>
        <a:prstGeom prst="rect">
          <a:avLst/>
        </a:prstGeom>
        <a:solidFill>
          <a:srgbClr val="CCFFCC"/>
        </a:solidFill>
        <a:ln w="9525" cmpd="sng">
          <a:solidFill>
            <a:srgbClr val="FF00FF"/>
          </a:solidFill>
          <a:headEnd type="none"/>
          <a:tailEnd type="none"/>
        </a:ln>
      </xdr:spPr>
    </xdr:pic>
    <xdr:clientData/>
  </xdr:twoCellAnchor>
  <xdr:twoCellAnchor editAs="oneCell">
    <xdr:from>
      <xdr:col>6</xdr:col>
      <xdr:colOff>104775</xdr:colOff>
      <xdr:row>46</xdr:row>
      <xdr:rowOff>57150</xdr:rowOff>
    </xdr:from>
    <xdr:to>
      <xdr:col>8</xdr:col>
      <xdr:colOff>571500</xdr:colOff>
      <xdr:row>50</xdr:row>
      <xdr:rowOff>28575</xdr:rowOff>
    </xdr:to>
    <xdr:pic>
      <xdr:nvPicPr>
        <xdr:cNvPr id="6" name="Picture 8"/>
        <xdr:cNvPicPr preferRelativeResize="1">
          <a:picLocks noChangeAspect="1"/>
        </xdr:cNvPicPr>
      </xdr:nvPicPr>
      <xdr:blipFill>
        <a:blip r:embed="rId6"/>
        <a:stretch>
          <a:fillRect/>
        </a:stretch>
      </xdr:blipFill>
      <xdr:spPr>
        <a:xfrm>
          <a:off x="5295900" y="7543800"/>
          <a:ext cx="1990725" cy="628650"/>
        </a:xfrm>
        <a:prstGeom prst="rect">
          <a:avLst/>
        </a:prstGeom>
        <a:solidFill>
          <a:srgbClr val="FFFF00"/>
        </a:solidFill>
        <a:ln w="9525" cmpd="sng">
          <a:solidFill>
            <a:srgbClr val="FF00FF"/>
          </a:solidFill>
          <a:headEnd type="none"/>
          <a:tailEnd type="none"/>
        </a:ln>
      </xdr:spPr>
    </xdr:pic>
    <xdr:clientData/>
  </xdr:twoCellAnchor>
  <xdr:twoCellAnchor editAs="oneCell">
    <xdr:from>
      <xdr:col>6</xdr:col>
      <xdr:colOff>0</xdr:colOff>
      <xdr:row>42</xdr:row>
      <xdr:rowOff>95250</xdr:rowOff>
    </xdr:from>
    <xdr:to>
      <xdr:col>10</xdr:col>
      <xdr:colOff>466725</xdr:colOff>
      <xdr:row>43</xdr:row>
      <xdr:rowOff>152400</xdr:rowOff>
    </xdr:to>
    <xdr:pic>
      <xdr:nvPicPr>
        <xdr:cNvPr id="7" name="Picture 9"/>
        <xdr:cNvPicPr preferRelativeResize="1">
          <a:picLocks noChangeAspect="1"/>
        </xdr:cNvPicPr>
      </xdr:nvPicPr>
      <xdr:blipFill>
        <a:blip r:embed="rId7"/>
        <a:stretch>
          <a:fillRect/>
        </a:stretch>
      </xdr:blipFill>
      <xdr:spPr>
        <a:xfrm>
          <a:off x="5191125" y="6934200"/>
          <a:ext cx="3514725" cy="219075"/>
        </a:xfrm>
        <a:prstGeom prst="rect">
          <a:avLst/>
        </a:prstGeom>
        <a:solidFill>
          <a:srgbClr val="CCFFFF"/>
        </a:solidFill>
        <a:ln w="9525" cmpd="sng">
          <a:solidFill>
            <a:srgbClr val="FF00FF"/>
          </a:solidFill>
          <a:headEnd type="none"/>
          <a:tailEnd type="none"/>
        </a:ln>
      </xdr:spPr>
    </xdr:pic>
    <xdr:clientData/>
  </xdr:twoCellAnchor>
  <xdr:twoCellAnchor editAs="oneCell">
    <xdr:from>
      <xdr:col>6</xdr:col>
      <xdr:colOff>47625</xdr:colOff>
      <xdr:row>44</xdr:row>
      <xdr:rowOff>47625</xdr:rowOff>
    </xdr:from>
    <xdr:to>
      <xdr:col>12</xdr:col>
      <xdr:colOff>457200</xdr:colOff>
      <xdr:row>45</xdr:row>
      <xdr:rowOff>104775</xdr:rowOff>
    </xdr:to>
    <xdr:pic>
      <xdr:nvPicPr>
        <xdr:cNvPr id="8" name="Picture 10"/>
        <xdr:cNvPicPr preferRelativeResize="1">
          <a:picLocks noChangeAspect="1"/>
        </xdr:cNvPicPr>
      </xdr:nvPicPr>
      <xdr:blipFill>
        <a:blip r:embed="rId8"/>
        <a:stretch>
          <a:fillRect/>
        </a:stretch>
      </xdr:blipFill>
      <xdr:spPr>
        <a:xfrm>
          <a:off x="5238750" y="7210425"/>
          <a:ext cx="4981575" cy="219075"/>
        </a:xfrm>
        <a:prstGeom prst="rect">
          <a:avLst/>
        </a:prstGeom>
        <a:solidFill>
          <a:srgbClr val="99CCFF"/>
        </a:solidFill>
        <a:ln w="9525" cmpd="sng">
          <a:solidFill>
            <a:srgbClr val="FF00FF"/>
          </a:solidFill>
          <a:headEnd type="none"/>
          <a:tailEnd type="none"/>
        </a:ln>
      </xdr:spPr>
    </xdr:pic>
    <xdr:clientData/>
  </xdr:twoCellAnchor>
  <xdr:twoCellAnchor>
    <xdr:from>
      <xdr:col>1</xdr:col>
      <xdr:colOff>123825</xdr:colOff>
      <xdr:row>52</xdr:row>
      <xdr:rowOff>47625</xdr:rowOff>
    </xdr:from>
    <xdr:to>
      <xdr:col>8</xdr:col>
      <xdr:colOff>133350</xdr:colOff>
      <xdr:row>74</xdr:row>
      <xdr:rowOff>19050</xdr:rowOff>
    </xdr:to>
    <xdr:graphicFrame>
      <xdr:nvGraphicFramePr>
        <xdr:cNvPr id="9" name="Chart 11"/>
        <xdr:cNvGraphicFramePr/>
      </xdr:nvGraphicFramePr>
      <xdr:xfrm>
        <a:off x="1504950" y="8515350"/>
        <a:ext cx="5343525" cy="3533775"/>
      </xdr:xfrm>
      <a:graphic>
        <a:graphicData uri="http://schemas.openxmlformats.org/drawingml/2006/chart">
          <c:chart xmlns:c="http://schemas.openxmlformats.org/drawingml/2006/chart" r:id="rId9"/>
        </a:graphicData>
      </a:graphic>
    </xdr:graphicFrame>
    <xdr:clientData/>
  </xdr:twoCellAnchor>
  <xdr:twoCellAnchor editAs="oneCell">
    <xdr:from>
      <xdr:col>6</xdr:col>
      <xdr:colOff>276225</xdr:colOff>
      <xdr:row>93</xdr:row>
      <xdr:rowOff>38100</xdr:rowOff>
    </xdr:from>
    <xdr:to>
      <xdr:col>11</xdr:col>
      <xdr:colOff>200025</xdr:colOff>
      <xdr:row>97</xdr:row>
      <xdr:rowOff>123825</xdr:rowOff>
    </xdr:to>
    <xdr:pic>
      <xdr:nvPicPr>
        <xdr:cNvPr id="10" name="Picture 12"/>
        <xdr:cNvPicPr preferRelativeResize="1">
          <a:picLocks noChangeAspect="1"/>
        </xdr:cNvPicPr>
      </xdr:nvPicPr>
      <xdr:blipFill>
        <a:blip r:embed="rId10"/>
        <a:stretch>
          <a:fillRect/>
        </a:stretch>
      </xdr:blipFill>
      <xdr:spPr>
        <a:xfrm>
          <a:off x="5467350" y="15163800"/>
          <a:ext cx="3733800" cy="742950"/>
        </a:xfrm>
        <a:prstGeom prst="rect">
          <a:avLst/>
        </a:prstGeom>
        <a:solidFill>
          <a:srgbClr val="CCFFCC"/>
        </a:solidFill>
        <a:ln w="9525" cmpd="sng">
          <a:solidFill>
            <a:srgbClr val="FF00FF"/>
          </a:solidFill>
          <a:headEnd type="none"/>
          <a:tailEnd type="none"/>
        </a:ln>
      </xdr:spPr>
    </xdr:pic>
    <xdr:clientData/>
  </xdr:twoCellAnchor>
  <xdr:twoCellAnchor editAs="oneCell">
    <xdr:from>
      <xdr:col>6</xdr:col>
      <xdr:colOff>276225</xdr:colOff>
      <xdr:row>98</xdr:row>
      <xdr:rowOff>28575</xdr:rowOff>
    </xdr:from>
    <xdr:to>
      <xdr:col>8</xdr:col>
      <xdr:colOff>466725</xdr:colOff>
      <xdr:row>99</xdr:row>
      <xdr:rowOff>133350</xdr:rowOff>
    </xdr:to>
    <xdr:pic>
      <xdr:nvPicPr>
        <xdr:cNvPr id="11" name="Picture 13"/>
        <xdr:cNvPicPr preferRelativeResize="1">
          <a:picLocks noChangeAspect="1"/>
        </xdr:cNvPicPr>
      </xdr:nvPicPr>
      <xdr:blipFill>
        <a:blip r:embed="rId11"/>
        <a:stretch>
          <a:fillRect/>
        </a:stretch>
      </xdr:blipFill>
      <xdr:spPr>
        <a:xfrm>
          <a:off x="5467350" y="15973425"/>
          <a:ext cx="1714500" cy="266700"/>
        </a:xfrm>
        <a:prstGeom prst="rect">
          <a:avLst/>
        </a:prstGeom>
        <a:solidFill>
          <a:srgbClr val="CCFFFF"/>
        </a:solidFill>
        <a:ln w="9525" cmpd="sng">
          <a:solidFill>
            <a:srgbClr val="FF00FF"/>
          </a:solidFill>
          <a:headEnd type="none"/>
          <a:tailEnd type="none"/>
        </a:ln>
      </xdr:spPr>
    </xdr:pic>
    <xdr:clientData/>
  </xdr:twoCellAnchor>
  <xdr:twoCellAnchor editAs="oneCell">
    <xdr:from>
      <xdr:col>11</xdr:col>
      <xdr:colOff>581025</xdr:colOff>
      <xdr:row>82</xdr:row>
      <xdr:rowOff>114300</xdr:rowOff>
    </xdr:from>
    <xdr:to>
      <xdr:col>17</xdr:col>
      <xdr:colOff>161925</xdr:colOff>
      <xdr:row>89</xdr:row>
      <xdr:rowOff>9525</xdr:rowOff>
    </xdr:to>
    <xdr:pic>
      <xdr:nvPicPr>
        <xdr:cNvPr id="12" name="Picture 14"/>
        <xdr:cNvPicPr preferRelativeResize="1">
          <a:picLocks noChangeAspect="1"/>
        </xdr:cNvPicPr>
      </xdr:nvPicPr>
      <xdr:blipFill>
        <a:blip r:embed="rId12"/>
        <a:stretch>
          <a:fillRect/>
        </a:stretch>
      </xdr:blipFill>
      <xdr:spPr>
        <a:xfrm>
          <a:off x="9582150" y="13458825"/>
          <a:ext cx="4152900" cy="1028700"/>
        </a:xfrm>
        <a:prstGeom prst="rect">
          <a:avLst/>
        </a:prstGeom>
        <a:solidFill>
          <a:srgbClr val="99CCFF"/>
        </a:solidFill>
        <a:ln w="9525" cmpd="sng">
          <a:solidFill>
            <a:srgbClr val="FF00FF"/>
          </a:solidFill>
          <a:headEnd type="none"/>
          <a:tailEnd type="none"/>
        </a:ln>
      </xdr:spPr>
    </xdr:pic>
    <xdr:clientData/>
  </xdr:twoCellAnchor>
  <xdr:twoCellAnchor editAs="oneCell">
    <xdr:from>
      <xdr:col>6</xdr:col>
      <xdr:colOff>266700</xdr:colOff>
      <xdr:row>88</xdr:row>
      <xdr:rowOff>85725</xdr:rowOff>
    </xdr:from>
    <xdr:to>
      <xdr:col>11</xdr:col>
      <xdr:colOff>438150</xdr:colOff>
      <xdr:row>92</xdr:row>
      <xdr:rowOff>123825</xdr:rowOff>
    </xdr:to>
    <xdr:pic>
      <xdr:nvPicPr>
        <xdr:cNvPr id="13" name="Picture 15"/>
        <xdr:cNvPicPr preferRelativeResize="1">
          <a:picLocks noChangeAspect="1"/>
        </xdr:cNvPicPr>
      </xdr:nvPicPr>
      <xdr:blipFill>
        <a:blip r:embed="rId13"/>
        <a:stretch>
          <a:fillRect/>
        </a:stretch>
      </xdr:blipFill>
      <xdr:spPr>
        <a:xfrm>
          <a:off x="5457825" y="14401800"/>
          <a:ext cx="3981450" cy="685800"/>
        </a:xfrm>
        <a:prstGeom prst="rect">
          <a:avLst/>
        </a:prstGeom>
        <a:solidFill>
          <a:srgbClr val="FFFF99"/>
        </a:solidFill>
        <a:ln w="9525" cmpd="sng">
          <a:solidFill>
            <a:srgbClr val="FF00FF"/>
          </a:solidFill>
          <a:headEnd type="none"/>
          <a:tailEnd type="none"/>
        </a:ln>
      </xdr:spPr>
    </xdr:pic>
    <xdr:clientData/>
  </xdr:twoCellAnchor>
  <xdr:twoCellAnchor editAs="oneCell">
    <xdr:from>
      <xdr:col>12</xdr:col>
      <xdr:colOff>0</xdr:colOff>
      <xdr:row>89</xdr:row>
      <xdr:rowOff>0</xdr:rowOff>
    </xdr:from>
    <xdr:to>
      <xdr:col>16</xdr:col>
      <xdr:colOff>561975</xdr:colOff>
      <xdr:row>95</xdr:row>
      <xdr:rowOff>38100</xdr:rowOff>
    </xdr:to>
    <xdr:pic>
      <xdr:nvPicPr>
        <xdr:cNvPr id="14" name="Picture 17"/>
        <xdr:cNvPicPr preferRelativeResize="1">
          <a:picLocks noChangeAspect="1"/>
        </xdr:cNvPicPr>
      </xdr:nvPicPr>
      <xdr:blipFill>
        <a:blip r:embed="rId14"/>
        <a:stretch>
          <a:fillRect/>
        </a:stretch>
      </xdr:blipFill>
      <xdr:spPr>
        <a:xfrm>
          <a:off x="9763125" y="14478000"/>
          <a:ext cx="3609975" cy="1019175"/>
        </a:xfrm>
        <a:prstGeom prst="rect">
          <a:avLst/>
        </a:prstGeom>
        <a:solidFill>
          <a:srgbClr val="FFCC99"/>
        </a:solidFill>
        <a:ln w="9525" cmpd="sng">
          <a:solidFill>
            <a:srgbClr val="FF00FF"/>
          </a:solidFill>
          <a:headEnd type="none"/>
          <a:tailEnd type="none"/>
        </a:ln>
      </xdr:spPr>
    </xdr:pic>
    <xdr:clientData/>
  </xdr:twoCellAnchor>
  <xdr:twoCellAnchor editAs="oneCell">
    <xdr:from>
      <xdr:col>10</xdr:col>
      <xdr:colOff>390525</xdr:colOff>
      <xdr:row>103</xdr:row>
      <xdr:rowOff>19050</xdr:rowOff>
    </xdr:from>
    <xdr:to>
      <xdr:col>16</xdr:col>
      <xdr:colOff>704850</xdr:colOff>
      <xdr:row>109</xdr:row>
      <xdr:rowOff>9525</xdr:rowOff>
    </xdr:to>
    <xdr:pic>
      <xdr:nvPicPr>
        <xdr:cNvPr id="15" name="Picture 18"/>
        <xdr:cNvPicPr preferRelativeResize="1">
          <a:picLocks noChangeAspect="1"/>
        </xdr:cNvPicPr>
      </xdr:nvPicPr>
      <xdr:blipFill>
        <a:blip r:embed="rId15"/>
        <a:stretch>
          <a:fillRect/>
        </a:stretch>
      </xdr:blipFill>
      <xdr:spPr>
        <a:xfrm>
          <a:off x="8629650" y="16773525"/>
          <a:ext cx="4886325" cy="981075"/>
        </a:xfrm>
        <a:prstGeom prst="rect">
          <a:avLst/>
        </a:prstGeom>
        <a:solidFill>
          <a:srgbClr val="FFCC99"/>
        </a:solidFill>
        <a:ln w="9525" cmpd="sng">
          <a:solidFill>
            <a:srgbClr val="FF00FF"/>
          </a:solidFill>
          <a:headEnd type="none"/>
          <a:tailEnd type="none"/>
        </a:ln>
      </xdr:spPr>
    </xdr:pic>
    <xdr:clientData/>
  </xdr:twoCellAnchor>
  <xdr:twoCellAnchor editAs="oneCell">
    <xdr:from>
      <xdr:col>10</xdr:col>
      <xdr:colOff>409575</xdr:colOff>
      <xdr:row>109</xdr:row>
      <xdr:rowOff>76200</xdr:rowOff>
    </xdr:from>
    <xdr:to>
      <xdr:col>13</xdr:col>
      <xdr:colOff>714375</xdr:colOff>
      <xdr:row>111</xdr:row>
      <xdr:rowOff>9525</xdr:rowOff>
    </xdr:to>
    <xdr:pic>
      <xdr:nvPicPr>
        <xdr:cNvPr id="16" name="Picture 19"/>
        <xdr:cNvPicPr preferRelativeResize="1">
          <a:picLocks noChangeAspect="1"/>
        </xdr:cNvPicPr>
      </xdr:nvPicPr>
      <xdr:blipFill>
        <a:blip r:embed="rId16"/>
        <a:stretch>
          <a:fillRect/>
        </a:stretch>
      </xdr:blipFill>
      <xdr:spPr>
        <a:xfrm>
          <a:off x="8648700" y="17821275"/>
          <a:ext cx="2590800" cy="257175"/>
        </a:xfrm>
        <a:prstGeom prst="rect">
          <a:avLst/>
        </a:prstGeom>
        <a:solidFill>
          <a:srgbClr val="CCFFCC"/>
        </a:solidFill>
        <a:ln w="9525" cmpd="sng">
          <a:solidFill>
            <a:srgbClr val="FF00FF"/>
          </a:solidFill>
          <a:headEnd type="none"/>
          <a:tailEnd type="none"/>
        </a:ln>
      </xdr:spPr>
    </xdr:pic>
    <xdr:clientData/>
  </xdr:twoCellAnchor>
  <xdr:twoCellAnchor editAs="oneCell">
    <xdr:from>
      <xdr:col>10</xdr:col>
      <xdr:colOff>381000</xdr:colOff>
      <xdr:row>111</xdr:row>
      <xdr:rowOff>133350</xdr:rowOff>
    </xdr:from>
    <xdr:to>
      <xdr:col>15</xdr:col>
      <xdr:colOff>381000</xdr:colOff>
      <xdr:row>116</xdr:row>
      <xdr:rowOff>9525</xdr:rowOff>
    </xdr:to>
    <xdr:pic>
      <xdr:nvPicPr>
        <xdr:cNvPr id="17" name="Picture 20"/>
        <xdr:cNvPicPr preferRelativeResize="1">
          <a:picLocks noChangeAspect="1"/>
        </xdr:cNvPicPr>
      </xdr:nvPicPr>
      <xdr:blipFill>
        <a:blip r:embed="rId17"/>
        <a:stretch>
          <a:fillRect/>
        </a:stretch>
      </xdr:blipFill>
      <xdr:spPr>
        <a:xfrm>
          <a:off x="8620125" y="18202275"/>
          <a:ext cx="3810000" cy="685800"/>
        </a:xfrm>
        <a:prstGeom prst="rect">
          <a:avLst/>
        </a:prstGeom>
        <a:solidFill>
          <a:srgbClr val="CCFFFF"/>
        </a:solidFill>
        <a:ln w="9525" cmpd="sng">
          <a:solidFill>
            <a:srgbClr val="FF00FF"/>
          </a:solidFill>
          <a:headEnd type="none"/>
          <a:tailEnd type="none"/>
        </a:ln>
      </xdr:spPr>
    </xdr:pic>
    <xdr:clientData/>
  </xdr:twoCellAnchor>
  <xdr:twoCellAnchor editAs="oneCell">
    <xdr:from>
      <xdr:col>10</xdr:col>
      <xdr:colOff>400050</xdr:colOff>
      <xdr:row>116</xdr:row>
      <xdr:rowOff>76200</xdr:rowOff>
    </xdr:from>
    <xdr:to>
      <xdr:col>15</xdr:col>
      <xdr:colOff>57150</xdr:colOff>
      <xdr:row>118</xdr:row>
      <xdr:rowOff>142875</xdr:rowOff>
    </xdr:to>
    <xdr:pic>
      <xdr:nvPicPr>
        <xdr:cNvPr id="18" name="Picture 21"/>
        <xdr:cNvPicPr preferRelativeResize="1">
          <a:picLocks noChangeAspect="1"/>
        </xdr:cNvPicPr>
      </xdr:nvPicPr>
      <xdr:blipFill>
        <a:blip r:embed="rId18"/>
        <a:stretch>
          <a:fillRect/>
        </a:stretch>
      </xdr:blipFill>
      <xdr:spPr>
        <a:xfrm>
          <a:off x="8639175" y="18954750"/>
          <a:ext cx="3467100" cy="400050"/>
        </a:xfrm>
        <a:prstGeom prst="rect">
          <a:avLst/>
        </a:prstGeom>
        <a:solidFill>
          <a:srgbClr val="99CCFF"/>
        </a:solidFill>
        <a:ln w="9525" cmpd="sng">
          <a:solidFill>
            <a:srgbClr val="FF00FF"/>
          </a:solidFill>
          <a:headEnd type="none"/>
          <a:tailEnd type="none"/>
        </a:ln>
      </xdr:spPr>
    </xdr:pic>
    <xdr:clientData/>
  </xdr:twoCellAnchor>
  <xdr:twoCellAnchor>
    <xdr:from>
      <xdr:col>1</xdr:col>
      <xdr:colOff>257175</xdr:colOff>
      <xdr:row>120</xdr:row>
      <xdr:rowOff>47625</xdr:rowOff>
    </xdr:from>
    <xdr:to>
      <xdr:col>6</xdr:col>
      <xdr:colOff>647700</xdr:colOff>
      <xdr:row>138</xdr:row>
      <xdr:rowOff>142875</xdr:rowOff>
    </xdr:to>
    <xdr:graphicFrame>
      <xdr:nvGraphicFramePr>
        <xdr:cNvPr id="19" name="Chart 22"/>
        <xdr:cNvGraphicFramePr/>
      </xdr:nvGraphicFramePr>
      <xdr:xfrm>
        <a:off x="1638300" y="19583400"/>
        <a:ext cx="4200525" cy="3009900"/>
      </xdr:xfrm>
      <a:graphic>
        <a:graphicData uri="http://schemas.openxmlformats.org/drawingml/2006/chart">
          <c:chart xmlns:c="http://schemas.openxmlformats.org/drawingml/2006/chart" r:id="rId19"/>
        </a:graphicData>
      </a:graphic>
    </xdr:graphicFrame>
    <xdr:clientData/>
  </xdr:twoCellAnchor>
  <xdr:twoCellAnchor>
    <xdr:from>
      <xdr:col>1</xdr:col>
      <xdr:colOff>476250</xdr:colOff>
      <xdr:row>142</xdr:row>
      <xdr:rowOff>76200</xdr:rowOff>
    </xdr:from>
    <xdr:to>
      <xdr:col>7</xdr:col>
      <xdr:colOff>228600</xdr:colOff>
      <xdr:row>161</xdr:row>
      <xdr:rowOff>9525</xdr:rowOff>
    </xdr:to>
    <xdr:graphicFrame>
      <xdr:nvGraphicFramePr>
        <xdr:cNvPr id="20" name="Chart 23"/>
        <xdr:cNvGraphicFramePr/>
      </xdr:nvGraphicFramePr>
      <xdr:xfrm>
        <a:off x="1857375" y="23174325"/>
        <a:ext cx="4324350" cy="3009900"/>
      </xdr:xfrm>
      <a:graphic>
        <a:graphicData uri="http://schemas.openxmlformats.org/drawingml/2006/chart">
          <c:chart xmlns:c="http://schemas.openxmlformats.org/drawingml/2006/chart" r:id="rId20"/>
        </a:graphicData>
      </a:graphic>
    </xdr:graphicFrame>
    <xdr:clientData/>
  </xdr:twoCellAnchor>
  <xdr:twoCellAnchor editAs="oneCell">
    <xdr:from>
      <xdr:col>4</xdr:col>
      <xdr:colOff>304800</xdr:colOff>
      <xdr:row>167</xdr:row>
      <xdr:rowOff>123825</xdr:rowOff>
    </xdr:from>
    <xdr:to>
      <xdr:col>8</xdr:col>
      <xdr:colOff>257175</xdr:colOff>
      <xdr:row>169</xdr:row>
      <xdr:rowOff>38100</xdr:rowOff>
    </xdr:to>
    <xdr:pic>
      <xdr:nvPicPr>
        <xdr:cNvPr id="21" name="Picture 24"/>
        <xdr:cNvPicPr preferRelativeResize="1">
          <a:picLocks noChangeAspect="1"/>
        </xdr:cNvPicPr>
      </xdr:nvPicPr>
      <xdr:blipFill>
        <a:blip r:embed="rId21"/>
        <a:stretch>
          <a:fillRect/>
        </a:stretch>
      </xdr:blipFill>
      <xdr:spPr>
        <a:xfrm>
          <a:off x="3971925" y="27289125"/>
          <a:ext cx="3000375" cy="238125"/>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161925</xdr:colOff>
      <xdr:row>172</xdr:row>
      <xdr:rowOff>161925</xdr:rowOff>
    </xdr:from>
    <xdr:to>
      <xdr:col>10</xdr:col>
      <xdr:colOff>76200</xdr:colOff>
      <xdr:row>177</xdr:row>
      <xdr:rowOff>123825</xdr:rowOff>
    </xdr:to>
    <xdr:pic>
      <xdr:nvPicPr>
        <xdr:cNvPr id="22" name="Picture 25"/>
        <xdr:cNvPicPr preferRelativeResize="1">
          <a:picLocks noChangeAspect="1"/>
        </xdr:cNvPicPr>
      </xdr:nvPicPr>
      <xdr:blipFill>
        <a:blip r:embed="rId22"/>
        <a:stretch>
          <a:fillRect/>
        </a:stretch>
      </xdr:blipFill>
      <xdr:spPr>
        <a:xfrm>
          <a:off x="3829050" y="28136850"/>
          <a:ext cx="4486275" cy="790575"/>
        </a:xfrm>
        <a:prstGeom prst="rect">
          <a:avLst/>
        </a:prstGeom>
        <a:solidFill>
          <a:srgbClr val="FFCC99"/>
        </a:solidFill>
        <a:ln w="9525" cmpd="sng">
          <a:solidFill>
            <a:srgbClr val="FF00FF"/>
          </a:solidFill>
          <a:headEnd type="none"/>
          <a:tailEnd type="none"/>
        </a:ln>
      </xdr:spPr>
    </xdr:pic>
    <xdr:clientData/>
  </xdr:twoCellAnchor>
  <xdr:twoCellAnchor editAs="oneCell">
    <xdr:from>
      <xdr:col>4</xdr:col>
      <xdr:colOff>342900</xdr:colOff>
      <xdr:row>178</xdr:row>
      <xdr:rowOff>142875</xdr:rowOff>
    </xdr:from>
    <xdr:to>
      <xdr:col>8</xdr:col>
      <xdr:colOff>523875</xdr:colOff>
      <xdr:row>180</xdr:row>
      <xdr:rowOff>38100</xdr:rowOff>
    </xdr:to>
    <xdr:pic>
      <xdr:nvPicPr>
        <xdr:cNvPr id="23" name="Picture 26"/>
        <xdr:cNvPicPr preferRelativeResize="1">
          <a:picLocks noChangeAspect="1"/>
        </xdr:cNvPicPr>
      </xdr:nvPicPr>
      <xdr:blipFill>
        <a:blip r:embed="rId23"/>
        <a:stretch>
          <a:fillRect/>
        </a:stretch>
      </xdr:blipFill>
      <xdr:spPr>
        <a:xfrm>
          <a:off x="4010025" y="29108400"/>
          <a:ext cx="3228975" cy="219075"/>
        </a:xfrm>
        <a:prstGeom prst="rect">
          <a:avLst/>
        </a:prstGeom>
        <a:solidFill>
          <a:srgbClr val="FFFF00"/>
        </a:solidFill>
        <a:ln w="9525" cmpd="sng">
          <a:solidFill>
            <a:srgbClr val="FF00FF"/>
          </a:solidFill>
          <a:headEnd type="none"/>
          <a:tailEnd type="none"/>
        </a:ln>
      </xdr:spPr>
    </xdr:pic>
    <xdr:clientData/>
  </xdr:twoCellAnchor>
  <xdr:twoCellAnchor editAs="oneCell">
    <xdr:from>
      <xdr:col>5</xdr:col>
      <xdr:colOff>0</xdr:colOff>
      <xdr:row>184</xdr:row>
      <xdr:rowOff>0</xdr:rowOff>
    </xdr:from>
    <xdr:to>
      <xdr:col>11</xdr:col>
      <xdr:colOff>257175</xdr:colOff>
      <xdr:row>191</xdr:row>
      <xdr:rowOff>47625</xdr:rowOff>
    </xdr:to>
    <xdr:pic>
      <xdr:nvPicPr>
        <xdr:cNvPr id="24" name="Picture 27"/>
        <xdr:cNvPicPr preferRelativeResize="1">
          <a:picLocks noChangeAspect="1"/>
        </xdr:cNvPicPr>
      </xdr:nvPicPr>
      <xdr:blipFill>
        <a:blip r:embed="rId24"/>
        <a:stretch>
          <a:fillRect/>
        </a:stretch>
      </xdr:blipFill>
      <xdr:spPr>
        <a:xfrm>
          <a:off x="4429125" y="29946600"/>
          <a:ext cx="4829175" cy="1190625"/>
        </a:xfrm>
        <a:prstGeom prst="rect">
          <a:avLst/>
        </a:prstGeom>
        <a:solidFill>
          <a:srgbClr val="FFCC99"/>
        </a:solidFill>
        <a:ln w="9525" cmpd="sng">
          <a:solidFill>
            <a:srgbClr val="FF00FF"/>
          </a:solidFill>
          <a:headEnd type="none"/>
          <a:tailEnd type="none"/>
        </a:ln>
      </xdr:spPr>
    </xdr:pic>
    <xdr:clientData/>
  </xdr:twoCellAnchor>
  <xdr:twoCellAnchor>
    <xdr:from>
      <xdr:col>1</xdr:col>
      <xdr:colOff>333375</xdr:colOff>
      <xdr:row>206</xdr:row>
      <xdr:rowOff>95250</xdr:rowOff>
    </xdr:from>
    <xdr:to>
      <xdr:col>6</xdr:col>
      <xdr:colOff>447675</xdr:colOff>
      <xdr:row>222</xdr:row>
      <xdr:rowOff>85725</xdr:rowOff>
    </xdr:to>
    <xdr:graphicFrame>
      <xdr:nvGraphicFramePr>
        <xdr:cNvPr id="25" name="Chart 28"/>
        <xdr:cNvGraphicFramePr/>
      </xdr:nvGraphicFramePr>
      <xdr:xfrm>
        <a:off x="1714500" y="33642300"/>
        <a:ext cx="3924300" cy="2581275"/>
      </xdr:xfrm>
      <a:graphic>
        <a:graphicData uri="http://schemas.openxmlformats.org/drawingml/2006/chart">
          <c:chart xmlns:c="http://schemas.openxmlformats.org/drawingml/2006/chart" r:id="rId25"/>
        </a:graphicData>
      </a:graphic>
    </xdr:graphicFrame>
    <xdr:clientData/>
  </xdr:twoCellAnchor>
  <xdr:twoCellAnchor editAs="oneCell">
    <xdr:from>
      <xdr:col>5</xdr:col>
      <xdr:colOff>285750</xdr:colOff>
      <xdr:row>233</xdr:row>
      <xdr:rowOff>85725</xdr:rowOff>
    </xdr:from>
    <xdr:to>
      <xdr:col>10</xdr:col>
      <xdr:colOff>361950</xdr:colOff>
      <xdr:row>236</xdr:row>
      <xdr:rowOff>66675</xdr:rowOff>
    </xdr:to>
    <xdr:pic>
      <xdr:nvPicPr>
        <xdr:cNvPr id="26" name="Picture 29"/>
        <xdr:cNvPicPr preferRelativeResize="1">
          <a:picLocks noChangeAspect="1"/>
        </xdr:cNvPicPr>
      </xdr:nvPicPr>
      <xdr:blipFill>
        <a:blip r:embed="rId26"/>
        <a:stretch>
          <a:fillRect/>
        </a:stretch>
      </xdr:blipFill>
      <xdr:spPr>
        <a:xfrm>
          <a:off x="4714875" y="38042850"/>
          <a:ext cx="3886200" cy="485775"/>
        </a:xfrm>
        <a:prstGeom prst="rect">
          <a:avLst/>
        </a:prstGeom>
        <a:solidFill>
          <a:srgbClr val="CCFFCC"/>
        </a:solidFill>
        <a:ln w="9525" cmpd="sng">
          <a:solidFill>
            <a:srgbClr val="FF00FF"/>
          </a:solidFill>
          <a:headEnd type="none"/>
          <a:tailEnd type="none"/>
        </a:ln>
      </xdr:spPr>
    </xdr:pic>
    <xdr:clientData/>
  </xdr:twoCellAnchor>
  <xdr:twoCellAnchor editAs="oneCell">
    <xdr:from>
      <xdr:col>5</xdr:col>
      <xdr:colOff>0</xdr:colOff>
      <xdr:row>241</xdr:row>
      <xdr:rowOff>0</xdr:rowOff>
    </xdr:from>
    <xdr:to>
      <xdr:col>9</xdr:col>
      <xdr:colOff>190500</xdr:colOff>
      <xdr:row>243</xdr:row>
      <xdr:rowOff>133350</xdr:rowOff>
    </xdr:to>
    <xdr:pic>
      <xdr:nvPicPr>
        <xdr:cNvPr id="27" name="Picture 32"/>
        <xdr:cNvPicPr preferRelativeResize="1">
          <a:picLocks noChangeAspect="1"/>
        </xdr:cNvPicPr>
      </xdr:nvPicPr>
      <xdr:blipFill>
        <a:blip r:embed="rId27"/>
        <a:stretch>
          <a:fillRect/>
        </a:stretch>
      </xdr:blipFill>
      <xdr:spPr>
        <a:xfrm>
          <a:off x="4429125" y="39290625"/>
          <a:ext cx="3238500" cy="466725"/>
        </a:xfrm>
        <a:prstGeom prst="rect">
          <a:avLst/>
        </a:prstGeom>
        <a:solidFill>
          <a:srgbClr val="CCFFCC"/>
        </a:solidFill>
        <a:ln w="9525" cmpd="sng">
          <a:solidFill>
            <a:srgbClr val="FF00FF"/>
          </a:solidFill>
          <a:headEnd type="none"/>
          <a:tailEnd type="none"/>
        </a:ln>
      </xdr:spPr>
    </xdr:pic>
    <xdr:clientData/>
  </xdr:twoCellAnchor>
  <xdr:twoCellAnchor editAs="oneCell">
    <xdr:from>
      <xdr:col>5</xdr:col>
      <xdr:colOff>0</xdr:colOff>
      <xdr:row>244</xdr:row>
      <xdr:rowOff>0</xdr:rowOff>
    </xdr:from>
    <xdr:to>
      <xdr:col>9</xdr:col>
      <xdr:colOff>57150</xdr:colOff>
      <xdr:row>246</xdr:row>
      <xdr:rowOff>133350</xdr:rowOff>
    </xdr:to>
    <xdr:pic>
      <xdr:nvPicPr>
        <xdr:cNvPr id="28" name="Picture 33"/>
        <xdr:cNvPicPr preferRelativeResize="1">
          <a:picLocks noChangeAspect="1"/>
        </xdr:cNvPicPr>
      </xdr:nvPicPr>
      <xdr:blipFill>
        <a:blip r:embed="rId28"/>
        <a:stretch>
          <a:fillRect/>
        </a:stretch>
      </xdr:blipFill>
      <xdr:spPr>
        <a:xfrm>
          <a:off x="4429125" y="39795450"/>
          <a:ext cx="3105150" cy="457200"/>
        </a:xfrm>
        <a:prstGeom prst="rect">
          <a:avLst/>
        </a:prstGeom>
        <a:solidFill>
          <a:srgbClr val="FFFF99"/>
        </a:solidFill>
        <a:ln w="9525" cmpd="sng">
          <a:solidFill>
            <a:srgbClr val="FF00FF"/>
          </a:solidFill>
          <a:headEnd type="none"/>
          <a:tailEnd type="none"/>
        </a:ln>
      </xdr:spPr>
    </xdr:pic>
    <xdr:clientData/>
  </xdr:twoCellAnchor>
  <xdr:twoCellAnchor editAs="oneCell">
    <xdr:from>
      <xdr:col>6</xdr:col>
      <xdr:colOff>0</xdr:colOff>
      <xdr:row>253</xdr:row>
      <xdr:rowOff>0</xdr:rowOff>
    </xdr:from>
    <xdr:to>
      <xdr:col>10</xdr:col>
      <xdr:colOff>219075</xdr:colOff>
      <xdr:row>255</xdr:row>
      <xdr:rowOff>114300</xdr:rowOff>
    </xdr:to>
    <xdr:pic>
      <xdr:nvPicPr>
        <xdr:cNvPr id="29" name="Picture 34"/>
        <xdr:cNvPicPr preferRelativeResize="1">
          <a:picLocks noChangeAspect="1"/>
        </xdr:cNvPicPr>
      </xdr:nvPicPr>
      <xdr:blipFill>
        <a:blip r:embed="rId29"/>
        <a:stretch>
          <a:fillRect/>
        </a:stretch>
      </xdr:blipFill>
      <xdr:spPr>
        <a:xfrm>
          <a:off x="5191125" y="41252775"/>
          <a:ext cx="3267075" cy="457200"/>
        </a:xfrm>
        <a:prstGeom prst="rect">
          <a:avLst/>
        </a:prstGeom>
        <a:solidFill>
          <a:srgbClr val="CCFFCC"/>
        </a:solidFill>
        <a:ln w="9525" cmpd="sng">
          <a:solidFill>
            <a:srgbClr val="FF00FF"/>
          </a:solidFill>
          <a:headEnd type="none"/>
          <a:tailEnd type="none"/>
        </a:ln>
      </xdr:spPr>
    </xdr:pic>
    <xdr:clientData/>
  </xdr:twoCellAnchor>
  <xdr:twoCellAnchor editAs="oneCell">
    <xdr:from>
      <xdr:col>6</xdr:col>
      <xdr:colOff>9525</xdr:colOff>
      <xdr:row>256</xdr:row>
      <xdr:rowOff>95250</xdr:rowOff>
    </xdr:from>
    <xdr:to>
      <xdr:col>10</xdr:col>
      <xdr:colOff>200025</xdr:colOff>
      <xdr:row>259</xdr:row>
      <xdr:rowOff>0</xdr:rowOff>
    </xdr:to>
    <xdr:pic>
      <xdr:nvPicPr>
        <xdr:cNvPr id="30" name="Picture 35"/>
        <xdr:cNvPicPr preferRelativeResize="1">
          <a:picLocks noChangeAspect="1"/>
        </xdr:cNvPicPr>
      </xdr:nvPicPr>
      <xdr:blipFill>
        <a:blip r:embed="rId30"/>
        <a:stretch>
          <a:fillRect/>
        </a:stretch>
      </xdr:blipFill>
      <xdr:spPr>
        <a:xfrm>
          <a:off x="5200650" y="41852850"/>
          <a:ext cx="3238500" cy="400050"/>
        </a:xfrm>
        <a:prstGeom prst="rect">
          <a:avLst/>
        </a:prstGeom>
        <a:solidFill>
          <a:srgbClr val="FFFF99"/>
        </a:solidFill>
        <a:ln w="9525" cmpd="sng">
          <a:solidFill>
            <a:srgbClr val="FF00FF"/>
          </a:solidFill>
          <a:headEnd type="none"/>
          <a:tailEnd type="none"/>
        </a:ln>
      </xdr:spPr>
    </xdr:pic>
    <xdr:clientData/>
  </xdr:twoCellAnchor>
  <xdr:twoCellAnchor editAs="oneCell">
    <xdr:from>
      <xdr:col>11</xdr:col>
      <xdr:colOff>0</xdr:colOff>
      <xdr:row>254</xdr:row>
      <xdr:rowOff>0</xdr:rowOff>
    </xdr:from>
    <xdr:to>
      <xdr:col>13</xdr:col>
      <xdr:colOff>285750</xdr:colOff>
      <xdr:row>255</xdr:row>
      <xdr:rowOff>57150</xdr:rowOff>
    </xdr:to>
    <xdr:pic>
      <xdr:nvPicPr>
        <xdr:cNvPr id="31" name="Picture 36"/>
        <xdr:cNvPicPr preferRelativeResize="1">
          <a:picLocks noChangeAspect="1"/>
        </xdr:cNvPicPr>
      </xdr:nvPicPr>
      <xdr:blipFill>
        <a:blip r:embed="rId31"/>
        <a:stretch>
          <a:fillRect/>
        </a:stretch>
      </xdr:blipFill>
      <xdr:spPr>
        <a:xfrm>
          <a:off x="9001125" y="41424225"/>
          <a:ext cx="1809750" cy="228600"/>
        </a:xfrm>
        <a:prstGeom prst="rect">
          <a:avLst/>
        </a:prstGeom>
        <a:solidFill>
          <a:srgbClr val="00FF00"/>
        </a:solidFill>
        <a:ln w="9525" cmpd="sng">
          <a:solidFill>
            <a:srgbClr val="FF00FF"/>
          </a:solidFill>
          <a:headEnd type="none"/>
          <a:tailEnd type="none"/>
        </a:ln>
      </xdr:spPr>
    </xdr:pic>
    <xdr:clientData/>
  </xdr:twoCellAnchor>
  <xdr:twoCellAnchor editAs="oneCell">
    <xdr:from>
      <xdr:col>11</xdr:col>
      <xdr:colOff>0</xdr:colOff>
      <xdr:row>256</xdr:row>
      <xdr:rowOff>104775</xdr:rowOff>
    </xdr:from>
    <xdr:to>
      <xdr:col>13</xdr:col>
      <xdr:colOff>752475</xdr:colOff>
      <xdr:row>258</xdr:row>
      <xdr:rowOff>0</xdr:rowOff>
    </xdr:to>
    <xdr:pic>
      <xdr:nvPicPr>
        <xdr:cNvPr id="32" name="Picture 37"/>
        <xdr:cNvPicPr preferRelativeResize="1">
          <a:picLocks noChangeAspect="1"/>
        </xdr:cNvPicPr>
      </xdr:nvPicPr>
      <xdr:blipFill>
        <a:blip r:embed="rId32"/>
        <a:stretch>
          <a:fillRect/>
        </a:stretch>
      </xdr:blipFill>
      <xdr:spPr>
        <a:xfrm>
          <a:off x="9001125" y="41862375"/>
          <a:ext cx="2276475" cy="228600"/>
        </a:xfrm>
        <a:prstGeom prst="rect">
          <a:avLst/>
        </a:prstGeom>
        <a:solidFill>
          <a:srgbClr val="FFFF00"/>
        </a:solidFill>
        <a:ln w="9525" cmpd="sng">
          <a:solidFill>
            <a:srgbClr val="FF00FF"/>
          </a:solidFill>
          <a:headEnd type="none"/>
          <a:tailEnd type="none"/>
        </a:ln>
      </xdr:spPr>
    </xdr:pic>
    <xdr:clientData/>
  </xdr:twoCellAnchor>
  <xdr:twoCellAnchor editAs="oneCell">
    <xdr:from>
      <xdr:col>3</xdr:col>
      <xdr:colOff>352425</xdr:colOff>
      <xdr:row>263</xdr:row>
      <xdr:rowOff>133350</xdr:rowOff>
    </xdr:from>
    <xdr:to>
      <xdr:col>9</xdr:col>
      <xdr:colOff>733425</xdr:colOff>
      <xdr:row>267</xdr:row>
      <xdr:rowOff>142875</xdr:rowOff>
    </xdr:to>
    <xdr:pic>
      <xdr:nvPicPr>
        <xdr:cNvPr id="33" name="Picture 40"/>
        <xdr:cNvPicPr preferRelativeResize="1">
          <a:picLocks noChangeAspect="1"/>
        </xdr:cNvPicPr>
      </xdr:nvPicPr>
      <xdr:blipFill>
        <a:blip r:embed="rId33"/>
        <a:stretch>
          <a:fillRect/>
        </a:stretch>
      </xdr:blipFill>
      <xdr:spPr>
        <a:xfrm>
          <a:off x="3257550" y="43033950"/>
          <a:ext cx="4953000" cy="676275"/>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400050</xdr:colOff>
      <xdr:row>269</xdr:row>
      <xdr:rowOff>47625</xdr:rowOff>
    </xdr:from>
    <xdr:to>
      <xdr:col>7</xdr:col>
      <xdr:colOff>571500</xdr:colOff>
      <xdr:row>272</xdr:row>
      <xdr:rowOff>133350</xdr:rowOff>
    </xdr:to>
    <xdr:pic>
      <xdr:nvPicPr>
        <xdr:cNvPr id="34" name="Picture 41"/>
        <xdr:cNvPicPr preferRelativeResize="1">
          <a:picLocks noChangeAspect="1"/>
        </xdr:cNvPicPr>
      </xdr:nvPicPr>
      <xdr:blipFill>
        <a:blip r:embed="rId34"/>
        <a:stretch>
          <a:fillRect/>
        </a:stretch>
      </xdr:blipFill>
      <xdr:spPr>
        <a:xfrm>
          <a:off x="3305175" y="43938825"/>
          <a:ext cx="3219450" cy="571500"/>
        </a:xfrm>
        <a:prstGeom prst="rect">
          <a:avLst/>
        </a:prstGeom>
        <a:solidFill>
          <a:srgbClr val="FFFF99"/>
        </a:solidFill>
        <a:ln w="9525" cmpd="sng">
          <a:solidFill>
            <a:srgbClr val="FF00FF"/>
          </a:solidFill>
          <a:headEnd type="none"/>
          <a:tailEnd type="none"/>
        </a:ln>
      </xdr:spPr>
    </xdr:pic>
    <xdr:clientData/>
  </xdr:twoCellAnchor>
  <xdr:twoCellAnchor>
    <xdr:from>
      <xdr:col>11</xdr:col>
      <xdr:colOff>438150</xdr:colOff>
      <xdr:row>258</xdr:row>
      <xdr:rowOff>57150</xdr:rowOff>
    </xdr:from>
    <xdr:to>
      <xdr:col>18</xdr:col>
      <xdr:colOff>85725</xdr:colOff>
      <xdr:row>278</xdr:row>
      <xdr:rowOff>66675</xdr:rowOff>
    </xdr:to>
    <xdr:grpSp>
      <xdr:nvGrpSpPr>
        <xdr:cNvPr id="35" name="Group 44"/>
        <xdr:cNvGrpSpPr>
          <a:grpSpLocks/>
        </xdr:cNvGrpSpPr>
      </xdr:nvGrpSpPr>
      <xdr:grpSpPr>
        <a:xfrm>
          <a:off x="9439275" y="42148125"/>
          <a:ext cx="4981575" cy="3267075"/>
          <a:chOff x="822" y="4437"/>
          <a:chExt cx="534" cy="364"/>
        </a:xfrm>
        <a:solidFill>
          <a:srgbClr val="FFFFFF"/>
        </a:solidFill>
      </xdr:grpSpPr>
      <xdr:pic>
        <xdr:nvPicPr>
          <xdr:cNvPr id="36" name="Picture 42"/>
          <xdr:cNvPicPr preferRelativeResize="1">
            <a:picLocks noChangeAspect="1"/>
          </xdr:cNvPicPr>
        </xdr:nvPicPr>
        <xdr:blipFill>
          <a:blip r:embed="rId35"/>
          <a:stretch>
            <a:fillRect/>
          </a:stretch>
        </xdr:blipFill>
        <xdr:spPr>
          <a:xfrm>
            <a:off x="822" y="4437"/>
            <a:ext cx="534" cy="364"/>
          </a:xfrm>
          <a:prstGeom prst="rect">
            <a:avLst/>
          </a:prstGeom>
          <a:noFill/>
          <a:ln w="1" cmpd="sng">
            <a:noFill/>
          </a:ln>
        </xdr:spPr>
      </xdr:pic>
      <xdr:sp>
        <xdr:nvSpPr>
          <xdr:cNvPr id="37" name="Oval 43"/>
          <xdr:cNvSpPr>
            <a:spLocks/>
          </xdr:cNvSpPr>
        </xdr:nvSpPr>
        <xdr:spPr>
          <a:xfrm>
            <a:off x="827" y="4740"/>
            <a:ext cx="188" cy="25"/>
          </a:xfrm>
          <a:prstGeom prst="ellips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3</xdr:col>
      <xdr:colOff>304800</xdr:colOff>
      <xdr:row>282</xdr:row>
      <xdr:rowOff>28575</xdr:rowOff>
    </xdr:from>
    <xdr:to>
      <xdr:col>9</xdr:col>
      <xdr:colOff>647700</xdr:colOff>
      <xdr:row>286</xdr:row>
      <xdr:rowOff>38100</xdr:rowOff>
    </xdr:to>
    <xdr:pic>
      <xdr:nvPicPr>
        <xdr:cNvPr id="38" name="Picture 47"/>
        <xdr:cNvPicPr preferRelativeResize="1">
          <a:picLocks noChangeAspect="1"/>
        </xdr:cNvPicPr>
      </xdr:nvPicPr>
      <xdr:blipFill>
        <a:blip r:embed="rId36"/>
        <a:stretch>
          <a:fillRect/>
        </a:stretch>
      </xdr:blipFill>
      <xdr:spPr>
        <a:xfrm>
          <a:off x="3209925" y="46043850"/>
          <a:ext cx="4914900" cy="657225"/>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333375</xdr:colOff>
      <xdr:row>286</xdr:row>
      <xdr:rowOff>152400</xdr:rowOff>
    </xdr:from>
    <xdr:to>
      <xdr:col>7</xdr:col>
      <xdr:colOff>647700</xdr:colOff>
      <xdr:row>290</xdr:row>
      <xdr:rowOff>76200</xdr:rowOff>
    </xdr:to>
    <xdr:pic>
      <xdr:nvPicPr>
        <xdr:cNvPr id="39" name="Picture 48"/>
        <xdr:cNvPicPr preferRelativeResize="1">
          <a:picLocks noChangeAspect="1"/>
        </xdr:cNvPicPr>
      </xdr:nvPicPr>
      <xdr:blipFill>
        <a:blip r:embed="rId37"/>
        <a:stretch>
          <a:fillRect/>
        </a:stretch>
      </xdr:blipFill>
      <xdr:spPr>
        <a:xfrm>
          <a:off x="3238500" y="46815375"/>
          <a:ext cx="3362325" cy="571500"/>
        </a:xfrm>
        <a:prstGeom prst="rect">
          <a:avLst/>
        </a:prstGeom>
        <a:solidFill>
          <a:srgbClr val="99CCFF"/>
        </a:solidFill>
        <a:ln w="9525" cmpd="sng">
          <a:solidFill>
            <a:srgbClr val="FF00FF"/>
          </a:solidFill>
          <a:headEnd type="none"/>
          <a:tailEnd type="none"/>
        </a:ln>
      </xdr:spPr>
    </xdr:pic>
    <xdr:clientData/>
  </xdr:twoCellAnchor>
  <xdr:twoCellAnchor>
    <xdr:from>
      <xdr:col>11</xdr:col>
      <xdr:colOff>9525</xdr:colOff>
      <xdr:row>279</xdr:row>
      <xdr:rowOff>38100</xdr:rowOff>
    </xdr:from>
    <xdr:to>
      <xdr:col>17</xdr:col>
      <xdr:colOff>523875</xdr:colOff>
      <xdr:row>300</xdr:row>
      <xdr:rowOff>85725</xdr:rowOff>
    </xdr:to>
    <xdr:grpSp>
      <xdr:nvGrpSpPr>
        <xdr:cNvPr id="40" name="Group 50"/>
        <xdr:cNvGrpSpPr>
          <a:grpSpLocks/>
        </xdr:cNvGrpSpPr>
      </xdr:nvGrpSpPr>
      <xdr:grpSpPr>
        <a:xfrm>
          <a:off x="9010650" y="45548550"/>
          <a:ext cx="5086350" cy="3467100"/>
          <a:chOff x="831" y="4782"/>
          <a:chExt cx="534" cy="364"/>
        </a:xfrm>
        <a:solidFill>
          <a:srgbClr val="FFFFFF"/>
        </a:solidFill>
      </xdr:grpSpPr>
      <xdr:pic>
        <xdr:nvPicPr>
          <xdr:cNvPr id="41" name="Picture 45"/>
          <xdr:cNvPicPr preferRelativeResize="1">
            <a:picLocks noChangeAspect="1"/>
          </xdr:cNvPicPr>
        </xdr:nvPicPr>
        <xdr:blipFill>
          <a:blip r:embed="rId38"/>
          <a:stretch>
            <a:fillRect/>
          </a:stretch>
        </xdr:blipFill>
        <xdr:spPr>
          <a:xfrm>
            <a:off x="831" y="4782"/>
            <a:ext cx="534" cy="364"/>
          </a:xfrm>
          <a:prstGeom prst="rect">
            <a:avLst/>
          </a:prstGeom>
          <a:noFill/>
          <a:ln w="1" cmpd="sng">
            <a:noFill/>
          </a:ln>
        </xdr:spPr>
      </xdr:pic>
      <xdr:sp>
        <xdr:nvSpPr>
          <xdr:cNvPr id="42" name="Oval 49"/>
          <xdr:cNvSpPr>
            <a:spLocks/>
          </xdr:cNvSpPr>
        </xdr:nvSpPr>
        <xdr:spPr>
          <a:xfrm>
            <a:off x="838" y="5085"/>
            <a:ext cx="210" cy="26"/>
          </a:xfrm>
          <a:prstGeom prst="ellips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4</xdr:col>
      <xdr:colOff>342900</xdr:colOff>
      <xdr:row>325</xdr:row>
      <xdr:rowOff>76200</xdr:rowOff>
    </xdr:from>
    <xdr:to>
      <xdr:col>9</xdr:col>
      <xdr:colOff>714375</xdr:colOff>
      <xdr:row>331</xdr:row>
      <xdr:rowOff>76200</xdr:rowOff>
    </xdr:to>
    <xdr:pic>
      <xdr:nvPicPr>
        <xdr:cNvPr id="43" name="Picture 53"/>
        <xdr:cNvPicPr preferRelativeResize="1">
          <a:picLocks noChangeAspect="1"/>
        </xdr:cNvPicPr>
      </xdr:nvPicPr>
      <xdr:blipFill>
        <a:blip r:embed="rId39"/>
        <a:stretch>
          <a:fillRect/>
        </a:stretch>
      </xdr:blipFill>
      <xdr:spPr>
        <a:xfrm>
          <a:off x="4010025" y="53120925"/>
          <a:ext cx="4181475" cy="990600"/>
        </a:xfrm>
        <a:prstGeom prst="rect">
          <a:avLst/>
        </a:prstGeom>
        <a:solidFill>
          <a:srgbClr val="FFFF99"/>
        </a:solidFill>
        <a:ln w="9525" cmpd="sng">
          <a:solidFill>
            <a:srgbClr val="FF00FF"/>
          </a:solidFill>
          <a:headEnd type="none"/>
          <a:tailEnd type="none"/>
        </a:ln>
      </xdr:spPr>
    </xdr:pic>
    <xdr:clientData/>
  </xdr:twoCellAnchor>
  <xdr:twoCellAnchor editAs="oneCell">
    <xdr:from>
      <xdr:col>4</xdr:col>
      <xdr:colOff>361950</xdr:colOff>
      <xdr:row>331</xdr:row>
      <xdr:rowOff>142875</xdr:rowOff>
    </xdr:from>
    <xdr:to>
      <xdr:col>8</xdr:col>
      <xdr:colOff>695325</xdr:colOff>
      <xdr:row>334</xdr:row>
      <xdr:rowOff>47625</xdr:rowOff>
    </xdr:to>
    <xdr:pic>
      <xdr:nvPicPr>
        <xdr:cNvPr id="44" name="Picture 54"/>
        <xdr:cNvPicPr preferRelativeResize="1">
          <a:picLocks noChangeAspect="1"/>
        </xdr:cNvPicPr>
      </xdr:nvPicPr>
      <xdr:blipFill>
        <a:blip r:embed="rId40"/>
        <a:stretch>
          <a:fillRect/>
        </a:stretch>
      </xdr:blipFill>
      <xdr:spPr>
        <a:xfrm>
          <a:off x="4029075" y="54178200"/>
          <a:ext cx="3381375" cy="400050"/>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381000</xdr:colOff>
      <xdr:row>338</xdr:row>
      <xdr:rowOff>9525</xdr:rowOff>
    </xdr:from>
    <xdr:to>
      <xdr:col>8</xdr:col>
      <xdr:colOff>609600</xdr:colOff>
      <xdr:row>340</xdr:row>
      <xdr:rowOff>161925</xdr:rowOff>
    </xdr:to>
    <xdr:pic>
      <xdr:nvPicPr>
        <xdr:cNvPr id="45" name="Picture 57"/>
        <xdr:cNvPicPr preferRelativeResize="1">
          <a:picLocks noChangeAspect="1"/>
        </xdr:cNvPicPr>
      </xdr:nvPicPr>
      <xdr:blipFill>
        <a:blip r:embed="rId41"/>
        <a:stretch>
          <a:fillRect/>
        </a:stretch>
      </xdr:blipFill>
      <xdr:spPr>
        <a:xfrm>
          <a:off x="4048125" y="55187850"/>
          <a:ext cx="3276600" cy="485775"/>
        </a:xfrm>
        <a:prstGeom prst="rect">
          <a:avLst/>
        </a:prstGeom>
        <a:solidFill>
          <a:srgbClr val="FFFF99"/>
        </a:solidFill>
        <a:ln w="9525" cmpd="sng">
          <a:solidFill>
            <a:srgbClr val="FF00FF"/>
          </a:solidFill>
          <a:headEnd type="none"/>
          <a:tailEnd type="none"/>
        </a:ln>
      </xdr:spPr>
    </xdr:pic>
    <xdr:clientData/>
  </xdr:twoCellAnchor>
  <xdr:twoCellAnchor editAs="oneCell">
    <xdr:from>
      <xdr:col>4</xdr:col>
      <xdr:colOff>390525</xdr:colOff>
      <xdr:row>341</xdr:row>
      <xdr:rowOff>57150</xdr:rowOff>
    </xdr:from>
    <xdr:to>
      <xdr:col>8</xdr:col>
      <xdr:colOff>666750</xdr:colOff>
      <xdr:row>343</xdr:row>
      <xdr:rowOff>123825</xdr:rowOff>
    </xdr:to>
    <xdr:pic>
      <xdr:nvPicPr>
        <xdr:cNvPr id="46" name="Picture 58"/>
        <xdr:cNvPicPr preferRelativeResize="1">
          <a:picLocks noChangeAspect="1"/>
        </xdr:cNvPicPr>
      </xdr:nvPicPr>
      <xdr:blipFill>
        <a:blip r:embed="rId42"/>
        <a:stretch>
          <a:fillRect/>
        </a:stretch>
      </xdr:blipFill>
      <xdr:spPr>
        <a:xfrm>
          <a:off x="4057650" y="55740300"/>
          <a:ext cx="3324225" cy="400050"/>
        </a:xfrm>
        <a:prstGeom prst="rect">
          <a:avLst/>
        </a:prstGeom>
        <a:solidFill>
          <a:srgbClr val="CCFFCC"/>
        </a:solidFill>
        <a:ln w="9525" cmpd="sng">
          <a:solidFill>
            <a:srgbClr val="FF00FF"/>
          </a:solidFill>
          <a:headEnd type="none"/>
          <a:tailEnd type="none"/>
        </a:ln>
      </xdr:spPr>
    </xdr:pic>
    <xdr:clientData/>
  </xdr:twoCellAnchor>
  <xdr:twoCellAnchor editAs="oneCell">
    <xdr:from>
      <xdr:col>8</xdr:col>
      <xdr:colOff>400050</xdr:colOff>
      <xdr:row>373</xdr:row>
      <xdr:rowOff>95250</xdr:rowOff>
    </xdr:from>
    <xdr:to>
      <xdr:col>13</xdr:col>
      <xdr:colOff>333375</xdr:colOff>
      <xdr:row>389</xdr:row>
      <xdr:rowOff>0</xdr:rowOff>
    </xdr:to>
    <xdr:pic>
      <xdr:nvPicPr>
        <xdr:cNvPr id="47" name="Picture 60"/>
        <xdr:cNvPicPr preferRelativeResize="1">
          <a:picLocks noChangeAspect="1"/>
        </xdr:cNvPicPr>
      </xdr:nvPicPr>
      <xdr:blipFill>
        <a:blip r:embed="rId43"/>
        <a:stretch>
          <a:fillRect/>
        </a:stretch>
      </xdr:blipFill>
      <xdr:spPr>
        <a:xfrm>
          <a:off x="7115175" y="61055250"/>
          <a:ext cx="3743325" cy="2543175"/>
        </a:xfrm>
        <a:prstGeom prst="rect">
          <a:avLst/>
        </a:prstGeom>
        <a:noFill/>
        <a:ln w="1" cmpd="sng">
          <a:noFill/>
        </a:ln>
      </xdr:spPr>
    </xdr:pic>
    <xdr:clientData/>
  </xdr:twoCellAnchor>
  <xdr:twoCellAnchor editAs="oneCell">
    <xdr:from>
      <xdr:col>9</xdr:col>
      <xdr:colOff>0</xdr:colOff>
      <xdr:row>391</xdr:row>
      <xdr:rowOff>0</xdr:rowOff>
    </xdr:from>
    <xdr:to>
      <xdr:col>13</xdr:col>
      <xdr:colOff>695325</xdr:colOff>
      <xdr:row>406</xdr:row>
      <xdr:rowOff>85725</xdr:rowOff>
    </xdr:to>
    <xdr:pic>
      <xdr:nvPicPr>
        <xdr:cNvPr id="48" name="Picture 61"/>
        <xdr:cNvPicPr preferRelativeResize="1">
          <a:picLocks noChangeAspect="1"/>
        </xdr:cNvPicPr>
      </xdr:nvPicPr>
      <xdr:blipFill>
        <a:blip r:embed="rId44"/>
        <a:stretch>
          <a:fillRect/>
        </a:stretch>
      </xdr:blipFill>
      <xdr:spPr>
        <a:xfrm>
          <a:off x="7477125" y="63922275"/>
          <a:ext cx="3743325" cy="2543175"/>
        </a:xfrm>
        <a:prstGeom prst="rect">
          <a:avLst/>
        </a:prstGeom>
        <a:noFill/>
        <a:ln w="1" cmpd="sng">
          <a:noFill/>
        </a:ln>
      </xdr:spPr>
    </xdr:pic>
    <xdr:clientData/>
  </xdr:twoCellAnchor>
  <xdr:twoCellAnchor>
    <xdr:from>
      <xdr:col>1</xdr:col>
      <xdr:colOff>200025</xdr:colOff>
      <xdr:row>490</xdr:row>
      <xdr:rowOff>9525</xdr:rowOff>
    </xdr:from>
    <xdr:to>
      <xdr:col>6</xdr:col>
      <xdr:colOff>114300</xdr:colOff>
      <xdr:row>506</xdr:row>
      <xdr:rowOff>76200</xdr:rowOff>
    </xdr:to>
    <xdr:graphicFrame>
      <xdr:nvGraphicFramePr>
        <xdr:cNvPr id="49" name="Chart 62"/>
        <xdr:cNvGraphicFramePr/>
      </xdr:nvGraphicFramePr>
      <xdr:xfrm>
        <a:off x="1581150" y="80143350"/>
        <a:ext cx="3724275" cy="2657475"/>
      </xdr:xfrm>
      <a:graphic>
        <a:graphicData uri="http://schemas.openxmlformats.org/drawingml/2006/chart">
          <c:chart xmlns:c="http://schemas.openxmlformats.org/drawingml/2006/chart" r:id="rId45"/>
        </a:graphicData>
      </a:graphic>
    </xdr:graphicFrame>
    <xdr:clientData/>
  </xdr:twoCellAnchor>
  <xdr:twoCellAnchor>
    <xdr:from>
      <xdr:col>7</xdr:col>
      <xdr:colOff>219075</xdr:colOff>
      <xdr:row>490</xdr:row>
      <xdr:rowOff>0</xdr:rowOff>
    </xdr:from>
    <xdr:to>
      <xdr:col>12</xdr:col>
      <xdr:colOff>9525</xdr:colOff>
      <xdr:row>506</xdr:row>
      <xdr:rowOff>76200</xdr:rowOff>
    </xdr:to>
    <xdr:graphicFrame>
      <xdr:nvGraphicFramePr>
        <xdr:cNvPr id="50" name="Chart 63"/>
        <xdr:cNvGraphicFramePr/>
      </xdr:nvGraphicFramePr>
      <xdr:xfrm>
        <a:off x="6172200" y="80133825"/>
        <a:ext cx="3600450" cy="2667000"/>
      </xdr:xfrm>
      <a:graphic>
        <a:graphicData uri="http://schemas.openxmlformats.org/drawingml/2006/chart">
          <c:chart xmlns:c="http://schemas.openxmlformats.org/drawingml/2006/chart" r:id="rId46"/>
        </a:graphicData>
      </a:graphic>
    </xdr:graphicFrame>
    <xdr:clientData/>
  </xdr:twoCellAnchor>
  <xdr:twoCellAnchor>
    <xdr:from>
      <xdr:col>1</xdr:col>
      <xdr:colOff>295275</xdr:colOff>
      <xdr:row>531</xdr:row>
      <xdr:rowOff>57150</xdr:rowOff>
    </xdr:from>
    <xdr:to>
      <xdr:col>7</xdr:col>
      <xdr:colOff>0</xdr:colOff>
      <xdr:row>550</xdr:row>
      <xdr:rowOff>76200</xdr:rowOff>
    </xdr:to>
    <xdr:graphicFrame>
      <xdr:nvGraphicFramePr>
        <xdr:cNvPr id="51" name="Chart 64"/>
        <xdr:cNvGraphicFramePr/>
      </xdr:nvGraphicFramePr>
      <xdr:xfrm>
        <a:off x="1676400" y="86887050"/>
        <a:ext cx="4276725" cy="3095625"/>
      </xdr:xfrm>
      <a:graphic>
        <a:graphicData uri="http://schemas.openxmlformats.org/drawingml/2006/chart">
          <c:chart xmlns:c="http://schemas.openxmlformats.org/drawingml/2006/chart" r:id="rId47"/>
        </a:graphicData>
      </a:graphic>
    </xdr:graphicFrame>
    <xdr:clientData/>
  </xdr:twoCellAnchor>
  <xdr:twoCellAnchor>
    <xdr:from>
      <xdr:col>1</xdr:col>
      <xdr:colOff>304800</xdr:colOff>
      <xdr:row>571</xdr:row>
      <xdr:rowOff>38100</xdr:rowOff>
    </xdr:from>
    <xdr:to>
      <xdr:col>6</xdr:col>
      <xdr:colOff>657225</xdr:colOff>
      <xdr:row>589</xdr:row>
      <xdr:rowOff>38100</xdr:rowOff>
    </xdr:to>
    <xdr:graphicFrame>
      <xdr:nvGraphicFramePr>
        <xdr:cNvPr id="52" name="Chart 65"/>
        <xdr:cNvGraphicFramePr/>
      </xdr:nvGraphicFramePr>
      <xdr:xfrm>
        <a:off x="1685925" y="93402150"/>
        <a:ext cx="4162425" cy="2914650"/>
      </xdr:xfrm>
      <a:graphic>
        <a:graphicData uri="http://schemas.openxmlformats.org/drawingml/2006/chart">
          <c:chart xmlns:c="http://schemas.openxmlformats.org/drawingml/2006/chart" r:id="rId48"/>
        </a:graphicData>
      </a:graphic>
    </xdr:graphicFrame>
    <xdr:clientData/>
  </xdr:twoCellAnchor>
  <xdr:twoCellAnchor>
    <xdr:from>
      <xdr:col>5</xdr:col>
      <xdr:colOff>571500</xdr:colOff>
      <xdr:row>594</xdr:row>
      <xdr:rowOff>28575</xdr:rowOff>
    </xdr:from>
    <xdr:to>
      <xdr:col>10</xdr:col>
      <xdr:colOff>457200</xdr:colOff>
      <xdr:row>610</xdr:row>
      <xdr:rowOff>104775</xdr:rowOff>
    </xdr:to>
    <xdr:graphicFrame>
      <xdr:nvGraphicFramePr>
        <xdr:cNvPr id="53" name="Chart 66"/>
        <xdr:cNvGraphicFramePr/>
      </xdr:nvGraphicFramePr>
      <xdr:xfrm>
        <a:off x="5000625" y="97116900"/>
        <a:ext cx="3695700" cy="2695575"/>
      </xdr:xfrm>
      <a:graphic>
        <a:graphicData uri="http://schemas.openxmlformats.org/drawingml/2006/chart">
          <c:chart xmlns:c="http://schemas.openxmlformats.org/drawingml/2006/chart" r:id="rId49"/>
        </a:graphicData>
      </a:graphic>
    </xdr:graphicFrame>
    <xdr:clientData/>
  </xdr:twoCellAnchor>
  <xdr:twoCellAnchor>
    <xdr:from>
      <xdr:col>1</xdr:col>
      <xdr:colOff>142875</xdr:colOff>
      <xdr:row>635</xdr:row>
      <xdr:rowOff>152400</xdr:rowOff>
    </xdr:from>
    <xdr:to>
      <xdr:col>6</xdr:col>
      <xdr:colOff>428625</xdr:colOff>
      <xdr:row>655</xdr:row>
      <xdr:rowOff>19050</xdr:rowOff>
    </xdr:to>
    <xdr:graphicFrame>
      <xdr:nvGraphicFramePr>
        <xdr:cNvPr id="54" name="Chart 67"/>
        <xdr:cNvGraphicFramePr/>
      </xdr:nvGraphicFramePr>
      <xdr:xfrm>
        <a:off x="1524000" y="103936800"/>
        <a:ext cx="4095750" cy="3105150"/>
      </xdr:xfrm>
      <a:graphic>
        <a:graphicData uri="http://schemas.openxmlformats.org/drawingml/2006/chart">
          <c:chart xmlns:c="http://schemas.openxmlformats.org/drawingml/2006/chart" r:id="rId50"/>
        </a:graphicData>
      </a:graphic>
    </xdr:graphicFrame>
    <xdr:clientData/>
  </xdr:twoCellAnchor>
  <xdr:twoCellAnchor>
    <xdr:from>
      <xdr:col>1</xdr:col>
      <xdr:colOff>419100</xdr:colOff>
      <xdr:row>674</xdr:row>
      <xdr:rowOff>66675</xdr:rowOff>
    </xdr:from>
    <xdr:to>
      <xdr:col>6</xdr:col>
      <xdr:colOff>657225</xdr:colOff>
      <xdr:row>692</xdr:row>
      <xdr:rowOff>19050</xdr:rowOff>
    </xdr:to>
    <xdr:graphicFrame>
      <xdr:nvGraphicFramePr>
        <xdr:cNvPr id="55" name="Chart 68"/>
        <xdr:cNvGraphicFramePr/>
      </xdr:nvGraphicFramePr>
      <xdr:xfrm>
        <a:off x="1800225" y="110194725"/>
        <a:ext cx="4048125" cy="2867025"/>
      </xdr:xfrm>
      <a:graphic>
        <a:graphicData uri="http://schemas.openxmlformats.org/drawingml/2006/chart">
          <c:chart xmlns:c="http://schemas.openxmlformats.org/drawingml/2006/chart" r:id="rId51"/>
        </a:graphicData>
      </a:graphic>
    </xdr:graphicFrame>
    <xdr:clientData/>
  </xdr:twoCellAnchor>
  <xdr:twoCellAnchor>
    <xdr:from>
      <xdr:col>1</xdr:col>
      <xdr:colOff>419100</xdr:colOff>
      <xdr:row>728</xdr:row>
      <xdr:rowOff>76200</xdr:rowOff>
    </xdr:from>
    <xdr:to>
      <xdr:col>7</xdr:col>
      <xdr:colOff>123825</xdr:colOff>
      <xdr:row>746</xdr:row>
      <xdr:rowOff>0</xdr:rowOff>
    </xdr:to>
    <xdr:graphicFrame>
      <xdr:nvGraphicFramePr>
        <xdr:cNvPr id="56" name="Chart 69"/>
        <xdr:cNvGraphicFramePr/>
      </xdr:nvGraphicFramePr>
      <xdr:xfrm>
        <a:off x="1800225" y="119024400"/>
        <a:ext cx="4276725" cy="2838450"/>
      </xdr:xfrm>
      <a:graphic>
        <a:graphicData uri="http://schemas.openxmlformats.org/drawingml/2006/chart">
          <c:chart xmlns:c="http://schemas.openxmlformats.org/drawingml/2006/chart" r:id="rId52"/>
        </a:graphicData>
      </a:graphic>
    </xdr:graphicFrame>
    <xdr:clientData/>
  </xdr:twoCellAnchor>
  <xdr:twoCellAnchor editAs="oneCell">
    <xdr:from>
      <xdr:col>8</xdr:col>
      <xdr:colOff>0</xdr:colOff>
      <xdr:row>751</xdr:row>
      <xdr:rowOff>0</xdr:rowOff>
    </xdr:from>
    <xdr:to>
      <xdr:col>12</xdr:col>
      <xdr:colOff>752475</xdr:colOff>
      <xdr:row>764</xdr:row>
      <xdr:rowOff>76200</xdr:rowOff>
    </xdr:to>
    <xdr:pic>
      <xdr:nvPicPr>
        <xdr:cNvPr id="57" name="Picture 70"/>
        <xdr:cNvPicPr preferRelativeResize="1">
          <a:picLocks noChangeAspect="1"/>
        </xdr:cNvPicPr>
      </xdr:nvPicPr>
      <xdr:blipFill>
        <a:blip r:embed="rId53"/>
        <a:stretch>
          <a:fillRect/>
        </a:stretch>
      </xdr:blipFill>
      <xdr:spPr>
        <a:xfrm>
          <a:off x="6715125" y="122682000"/>
          <a:ext cx="3800475" cy="2200275"/>
        </a:xfrm>
        <a:prstGeom prst="rect">
          <a:avLst/>
        </a:prstGeom>
        <a:noFill/>
        <a:ln w="1" cmpd="sng">
          <a:noFill/>
        </a:ln>
      </xdr:spPr>
    </xdr:pic>
    <xdr:clientData/>
  </xdr:twoCellAnchor>
  <xdr:twoCellAnchor editAs="oneCell">
    <xdr:from>
      <xdr:col>9</xdr:col>
      <xdr:colOff>0</xdr:colOff>
      <xdr:row>697</xdr:row>
      <xdr:rowOff>28575</xdr:rowOff>
    </xdr:from>
    <xdr:to>
      <xdr:col>14</xdr:col>
      <xdr:colOff>9525</xdr:colOff>
      <xdr:row>718</xdr:row>
      <xdr:rowOff>28575</xdr:rowOff>
    </xdr:to>
    <xdr:pic>
      <xdr:nvPicPr>
        <xdr:cNvPr id="58" name="Picture 71"/>
        <xdr:cNvPicPr preferRelativeResize="1">
          <a:picLocks noChangeAspect="1"/>
        </xdr:cNvPicPr>
      </xdr:nvPicPr>
      <xdr:blipFill>
        <a:blip r:embed="rId54"/>
        <a:stretch>
          <a:fillRect/>
        </a:stretch>
      </xdr:blipFill>
      <xdr:spPr>
        <a:xfrm>
          <a:off x="7477125" y="113880900"/>
          <a:ext cx="3819525" cy="3457575"/>
        </a:xfrm>
        <a:prstGeom prst="rect">
          <a:avLst/>
        </a:prstGeom>
        <a:noFill/>
        <a:ln w="1" cmpd="sng">
          <a:noFill/>
        </a:ln>
      </xdr:spPr>
    </xdr:pic>
    <xdr:clientData/>
  </xdr:twoCellAnchor>
  <xdr:twoCellAnchor editAs="oneCell">
    <xdr:from>
      <xdr:col>3</xdr:col>
      <xdr:colOff>219075</xdr:colOff>
      <xdr:row>773</xdr:row>
      <xdr:rowOff>47625</xdr:rowOff>
    </xdr:from>
    <xdr:to>
      <xdr:col>6</xdr:col>
      <xdr:colOff>600075</xdr:colOff>
      <xdr:row>776</xdr:row>
      <xdr:rowOff>85725</xdr:rowOff>
    </xdr:to>
    <xdr:pic>
      <xdr:nvPicPr>
        <xdr:cNvPr id="59" name="Picture 72"/>
        <xdr:cNvPicPr preferRelativeResize="1">
          <a:picLocks noChangeAspect="1"/>
        </xdr:cNvPicPr>
      </xdr:nvPicPr>
      <xdr:blipFill>
        <a:blip r:embed="rId55"/>
        <a:stretch>
          <a:fillRect/>
        </a:stretch>
      </xdr:blipFill>
      <xdr:spPr>
        <a:xfrm>
          <a:off x="3124200" y="126330075"/>
          <a:ext cx="2667000" cy="533400"/>
        </a:xfrm>
        <a:prstGeom prst="rect">
          <a:avLst/>
        </a:prstGeom>
        <a:solidFill>
          <a:srgbClr val="FFCC99"/>
        </a:solidFill>
        <a:ln w="9525" cmpd="sng">
          <a:solidFill>
            <a:srgbClr val="FF00FF"/>
          </a:solidFill>
          <a:headEnd type="none"/>
          <a:tailEnd type="none"/>
        </a:ln>
      </xdr:spPr>
    </xdr:pic>
    <xdr:clientData/>
  </xdr:twoCellAnchor>
  <xdr:twoCellAnchor editAs="oneCell">
    <xdr:from>
      <xdr:col>4</xdr:col>
      <xdr:colOff>314325</xdr:colOff>
      <xdr:row>782</xdr:row>
      <xdr:rowOff>19050</xdr:rowOff>
    </xdr:from>
    <xdr:to>
      <xdr:col>7</xdr:col>
      <xdr:colOff>209550</xdr:colOff>
      <xdr:row>784</xdr:row>
      <xdr:rowOff>76200</xdr:rowOff>
    </xdr:to>
    <xdr:pic>
      <xdr:nvPicPr>
        <xdr:cNvPr id="60" name="Picture 73"/>
        <xdr:cNvPicPr preferRelativeResize="1">
          <a:picLocks noChangeAspect="1"/>
        </xdr:cNvPicPr>
      </xdr:nvPicPr>
      <xdr:blipFill>
        <a:blip r:embed="rId56"/>
        <a:stretch>
          <a:fillRect/>
        </a:stretch>
      </xdr:blipFill>
      <xdr:spPr>
        <a:xfrm>
          <a:off x="3981450" y="127777875"/>
          <a:ext cx="2181225" cy="390525"/>
        </a:xfrm>
        <a:prstGeom prst="rect">
          <a:avLst/>
        </a:prstGeom>
        <a:solidFill>
          <a:srgbClr val="FFFF99"/>
        </a:solidFill>
        <a:ln w="9525" cmpd="sng">
          <a:solidFill>
            <a:srgbClr val="FF00FF"/>
          </a:solidFill>
          <a:headEnd type="none"/>
          <a:tailEnd type="none"/>
        </a:ln>
      </xdr:spPr>
    </xdr:pic>
    <xdr:clientData/>
  </xdr:twoCellAnchor>
  <xdr:twoCellAnchor editAs="oneCell">
    <xdr:from>
      <xdr:col>7</xdr:col>
      <xdr:colOff>0</xdr:colOff>
      <xdr:row>790</xdr:row>
      <xdr:rowOff>0</xdr:rowOff>
    </xdr:from>
    <xdr:to>
      <xdr:col>12</xdr:col>
      <xdr:colOff>104775</xdr:colOff>
      <xdr:row>795</xdr:row>
      <xdr:rowOff>38100</xdr:rowOff>
    </xdr:to>
    <xdr:pic>
      <xdr:nvPicPr>
        <xdr:cNvPr id="61" name="Picture 74"/>
        <xdr:cNvPicPr preferRelativeResize="1">
          <a:picLocks noChangeAspect="1"/>
        </xdr:cNvPicPr>
      </xdr:nvPicPr>
      <xdr:blipFill>
        <a:blip r:embed="rId57"/>
        <a:stretch>
          <a:fillRect/>
        </a:stretch>
      </xdr:blipFill>
      <xdr:spPr>
        <a:xfrm>
          <a:off x="5953125" y="129073275"/>
          <a:ext cx="3914775" cy="876300"/>
        </a:xfrm>
        <a:prstGeom prst="rect">
          <a:avLst/>
        </a:prstGeom>
        <a:solidFill>
          <a:srgbClr val="FFCC99"/>
        </a:solidFill>
        <a:ln w="9525" cmpd="sng">
          <a:solidFill>
            <a:srgbClr val="FF00FF"/>
          </a:solidFill>
          <a:headEnd type="none"/>
          <a:tailEnd type="none"/>
        </a:ln>
      </xdr:spPr>
    </xdr:pic>
    <xdr:clientData/>
  </xdr:twoCellAnchor>
  <xdr:twoCellAnchor>
    <xdr:from>
      <xdr:col>1</xdr:col>
      <xdr:colOff>628650</xdr:colOff>
      <xdr:row>0</xdr:row>
      <xdr:rowOff>95250</xdr:rowOff>
    </xdr:from>
    <xdr:to>
      <xdr:col>9</xdr:col>
      <xdr:colOff>695325</xdr:colOff>
      <xdr:row>4</xdr:row>
      <xdr:rowOff>152400</xdr:rowOff>
    </xdr:to>
    <xdr:sp>
      <xdr:nvSpPr>
        <xdr:cNvPr id="62" name="Rectangle 75"/>
        <xdr:cNvSpPr>
          <a:spLocks/>
        </xdr:cNvSpPr>
      </xdr:nvSpPr>
      <xdr:spPr>
        <a:xfrm>
          <a:off x="2009775" y="95250"/>
          <a:ext cx="6162675" cy="704850"/>
        </a:xfrm>
        <a:prstGeom prst="roundRect">
          <a:avLst/>
        </a:prstGeom>
        <a:blipFill>
          <a:blip r:embed="rId58"/>
          <a:srcRect/>
          <a:stretch>
            <a:fillRect/>
          </a:stretch>
        </a:blipFill>
        <a:ln w="9525" cmpd="sng">
          <a:solidFill>
            <a:srgbClr val="000000"/>
          </a:solidFill>
          <a:headEnd type="none"/>
          <a:tailEnd type="none"/>
        </a:ln>
      </xdr:spPr>
      <xdr:txBody>
        <a:bodyPr vertOverflow="clip" wrap="square"/>
        <a:p>
          <a:pPr algn="ctr">
            <a:defRPr/>
          </a:pPr>
          <a:r>
            <a:rPr lang="en-US" cap="none" sz="2000" b="1" i="0" u="none" baseline="0">
              <a:solidFill>
                <a:srgbClr val="FFFF00"/>
              </a:solidFill>
              <a:latin typeface="Arial"/>
              <a:ea typeface="Arial"/>
              <a:cs typeface="Arial"/>
            </a:rPr>
            <a:t>Apuntes De Estadística Aplicada con Excel.
Muestreo Aleatorio Sin Restricciones.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544</xdr:row>
      <xdr:rowOff>0</xdr:rowOff>
    </xdr:from>
    <xdr:to>
      <xdr:col>13</xdr:col>
      <xdr:colOff>514350</xdr:colOff>
      <xdr:row>559</xdr:row>
      <xdr:rowOff>133350</xdr:rowOff>
    </xdr:to>
    <xdr:pic>
      <xdr:nvPicPr>
        <xdr:cNvPr id="1" name="Picture 39"/>
        <xdr:cNvPicPr preferRelativeResize="1">
          <a:picLocks noChangeAspect="1"/>
        </xdr:cNvPicPr>
      </xdr:nvPicPr>
      <xdr:blipFill>
        <a:blip r:embed="rId1"/>
        <a:stretch>
          <a:fillRect/>
        </a:stretch>
      </xdr:blipFill>
      <xdr:spPr>
        <a:xfrm>
          <a:off x="6657975" y="88068150"/>
          <a:ext cx="2619375" cy="2581275"/>
        </a:xfrm>
        <a:prstGeom prst="rect">
          <a:avLst/>
        </a:prstGeom>
        <a:noFill/>
        <a:ln w="1" cmpd="sng">
          <a:noFill/>
        </a:ln>
      </xdr:spPr>
    </xdr:pic>
    <xdr:clientData/>
  </xdr:twoCellAnchor>
  <xdr:twoCellAnchor>
    <xdr:from>
      <xdr:col>1</xdr:col>
      <xdr:colOff>171450</xdr:colOff>
      <xdr:row>0</xdr:row>
      <xdr:rowOff>0</xdr:rowOff>
    </xdr:from>
    <xdr:to>
      <xdr:col>10</xdr:col>
      <xdr:colOff>390525</xdr:colOff>
      <xdr:row>0</xdr:row>
      <xdr:rowOff>0</xdr:rowOff>
    </xdr:to>
    <xdr:sp>
      <xdr:nvSpPr>
        <xdr:cNvPr id="2" name="Rectangle 56"/>
        <xdr:cNvSpPr>
          <a:spLocks/>
        </xdr:cNvSpPr>
      </xdr:nvSpPr>
      <xdr:spPr>
        <a:xfrm>
          <a:off x="885825" y="0"/>
          <a:ext cx="6162675" cy="0"/>
        </a:xfrm>
        <a:prstGeom prst="roundRect">
          <a:avLst/>
        </a:prstGeom>
        <a:blipFill>
          <a:blip r:embed="rId3"/>
          <a:srcRect/>
          <a:stretch>
            <a:fillRect/>
          </a:stretch>
        </a:blipFill>
        <a:ln w="9525" cmpd="sng">
          <a:solidFill>
            <a:srgbClr val="000000"/>
          </a:solidFill>
          <a:headEnd type="none"/>
          <a:tailEnd type="none"/>
        </a:ln>
      </xdr:spPr>
      <xdr:txBody>
        <a:bodyPr vertOverflow="clip" wrap="square"/>
        <a:p>
          <a:pPr algn="ctr">
            <a:defRPr/>
          </a:pPr>
          <a:r>
            <a:rPr lang="en-US" cap="none" sz="1600" b="1" i="0" u="none" baseline="0">
              <a:solidFill>
                <a:srgbClr val="FFFF00"/>
              </a:solidFill>
              <a:latin typeface="Arial"/>
              <a:ea typeface="Arial"/>
              <a:cs typeface="Arial"/>
            </a:rPr>
            <a:t>Apuntes De Estadística Aplicada con Excel.
Muestreo Aleatorio Sin Restricciones: Ejemplo.</a:t>
          </a:r>
        </a:p>
      </xdr:txBody>
    </xdr:sp>
    <xdr:clientData/>
  </xdr:twoCellAnchor>
  <xdr:twoCellAnchor editAs="oneCell">
    <xdr:from>
      <xdr:col>6</xdr:col>
      <xdr:colOff>0</xdr:colOff>
      <xdr:row>275</xdr:row>
      <xdr:rowOff>0</xdr:rowOff>
    </xdr:from>
    <xdr:to>
      <xdr:col>10</xdr:col>
      <xdr:colOff>295275</xdr:colOff>
      <xdr:row>290</xdr:row>
      <xdr:rowOff>142875</xdr:rowOff>
    </xdr:to>
    <xdr:pic>
      <xdr:nvPicPr>
        <xdr:cNvPr id="3" name="Picture 64"/>
        <xdr:cNvPicPr preferRelativeResize="1">
          <a:picLocks noChangeAspect="1"/>
        </xdr:cNvPicPr>
      </xdr:nvPicPr>
      <xdr:blipFill>
        <a:blip r:embed="rId2"/>
        <a:stretch>
          <a:fillRect/>
        </a:stretch>
      </xdr:blipFill>
      <xdr:spPr>
        <a:xfrm>
          <a:off x="4333875" y="44510325"/>
          <a:ext cx="2619375" cy="25717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9" sqref="A29:IV29"/>
    </sheetView>
  </sheetViews>
  <sheetFormatPr defaultColWidth="11.421875" defaultRowHeight="12.75"/>
  <cols>
    <col min="1" max="16384" width="11.421875" style="328" customWidth="1"/>
  </cols>
  <sheetData/>
  <sheetProtection password="89E6" sheet="1" objects="1" scenarios="1"/>
  <printOptions/>
  <pageMargins left="0.75" right="0.75" top="1" bottom="1" header="0" footer="0"/>
  <pageSetup horizontalDpi="120" verticalDpi="120" orientation="portrait" r:id="rId2"/>
  <drawing r:id="rId1"/>
</worksheet>
</file>

<file path=xl/worksheets/sheet2.xml><?xml version="1.0" encoding="utf-8"?>
<worksheet xmlns="http://schemas.openxmlformats.org/spreadsheetml/2006/main" xmlns:r="http://schemas.openxmlformats.org/officeDocument/2006/relationships">
  <dimension ref="A10:T877"/>
  <sheetViews>
    <sheetView workbookViewId="0" topLeftCell="A847">
      <selection activeCell="E878" sqref="E878"/>
    </sheetView>
  </sheetViews>
  <sheetFormatPr defaultColWidth="11.421875" defaultRowHeight="12.75"/>
  <sheetData>
    <row r="10" spans="1:20" ht="12.75">
      <c r="A10" s="200" t="s">
        <v>250</v>
      </c>
      <c r="B10" s="13"/>
      <c r="O10" s="15"/>
      <c r="P10" s="15"/>
      <c r="Q10" s="15"/>
      <c r="T10" s="15"/>
    </row>
    <row r="11" spans="1:20" ht="13.5" thickBot="1">
      <c r="A11" s="335" t="s">
        <v>36</v>
      </c>
      <c r="B11" s="338" t="s">
        <v>9</v>
      </c>
      <c r="C11" s="339" t="s">
        <v>10</v>
      </c>
      <c r="D11" s="338" t="s">
        <v>11</v>
      </c>
      <c r="E11" s="339" t="s">
        <v>12</v>
      </c>
      <c r="F11" s="338" t="s">
        <v>13</v>
      </c>
      <c r="G11" s="339" t="s">
        <v>14</v>
      </c>
      <c r="H11" s="338" t="s">
        <v>15</v>
      </c>
      <c r="I11" s="339" t="s">
        <v>16</v>
      </c>
      <c r="J11" s="338" t="s">
        <v>17</v>
      </c>
      <c r="K11" s="339" t="s">
        <v>18</v>
      </c>
      <c r="L11" s="338" t="s">
        <v>19</v>
      </c>
      <c r="M11" s="339" t="s">
        <v>20</v>
      </c>
      <c r="N11" s="338" t="s">
        <v>21</v>
      </c>
      <c r="O11" s="329"/>
      <c r="Q11" s="329"/>
      <c r="T11" s="329"/>
    </row>
    <row r="12" spans="1:20" ht="13.5" thickTop="1">
      <c r="A12" s="336"/>
      <c r="B12" s="332"/>
      <c r="C12" s="32"/>
      <c r="D12" s="332"/>
      <c r="E12" s="32"/>
      <c r="F12" s="332"/>
      <c r="G12" s="32"/>
      <c r="H12" s="332"/>
      <c r="I12" s="32"/>
      <c r="J12" s="332"/>
      <c r="K12" s="32"/>
      <c r="L12" s="332"/>
      <c r="M12" s="32"/>
      <c r="N12" s="332"/>
      <c r="O12" s="32"/>
      <c r="P12" s="32"/>
      <c r="Q12" s="32"/>
      <c r="T12" s="32"/>
    </row>
    <row r="13" spans="1:20" ht="12.75">
      <c r="A13" s="336" t="s">
        <v>22</v>
      </c>
      <c r="B13" s="333"/>
      <c r="C13" s="330"/>
      <c r="D13" s="333"/>
      <c r="E13" s="330"/>
      <c r="F13" s="333"/>
      <c r="G13" s="330"/>
      <c r="H13" s="333"/>
      <c r="I13" s="330"/>
      <c r="J13" s="333"/>
      <c r="K13" s="330"/>
      <c r="L13" s="333"/>
      <c r="M13" s="330"/>
      <c r="N13" s="333"/>
      <c r="O13" s="15"/>
      <c r="P13" s="32"/>
      <c r="Q13" s="15"/>
      <c r="T13" s="15"/>
    </row>
    <row r="14" spans="1:17" ht="12.75">
      <c r="A14" s="336" t="s">
        <v>23</v>
      </c>
      <c r="B14" s="333"/>
      <c r="C14" s="330"/>
      <c r="D14" s="333"/>
      <c r="E14" s="330"/>
      <c r="F14" s="333"/>
      <c r="G14" s="330"/>
      <c r="H14" s="333"/>
      <c r="I14" s="330"/>
      <c r="J14" s="333"/>
      <c r="K14" s="330"/>
      <c r="L14" s="333"/>
      <c r="M14" s="330"/>
      <c r="N14" s="333"/>
      <c r="O14" s="15"/>
      <c r="P14" s="32"/>
      <c r="Q14" s="15"/>
    </row>
    <row r="15" spans="1:17" ht="12.75">
      <c r="A15" s="336" t="s">
        <v>24</v>
      </c>
      <c r="B15" s="333"/>
      <c r="C15" s="330"/>
      <c r="D15" s="333"/>
      <c r="E15" s="330"/>
      <c r="F15" s="333"/>
      <c r="G15" s="330"/>
      <c r="H15" s="333"/>
      <c r="I15" s="330"/>
      <c r="J15" s="333"/>
      <c r="K15" s="330"/>
      <c r="L15" s="333"/>
      <c r="M15" s="330"/>
      <c r="N15" s="333"/>
      <c r="O15" s="15"/>
      <c r="P15" s="32"/>
      <c r="Q15" s="15"/>
    </row>
    <row r="16" spans="1:17" ht="12.75">
      <c r="A16" s="336" t="s">
        <v>25</v>
      </c>
      <c r="B16" s="333"/>
      <c r="C16" s="330"/>
      <c r="D16" s="333"/>
      <c r="E16" s="330"/>
      <c r="F16" s="333"/>
      <c r="G16" s="330"/>
      <c r="H16" s="333"/>
      <c r="I16" s="330"/>
      <c r="J16" s="333"/>
      <c r="K16" s="330"/>
      <c r="L16" s="333"/>
      <c r="M16" s="330"/>
      <c r="N16" s="333"/>
      <c r="O16" s="15"/>
      <c r="P16" s="32"/>
      <c r="Q16" s="15"/>
    </row>
    <row r="17" spans="1:17" ht="12.75">
      <c r="A17" s="336" t="s">
        <v>26</v>
      </c>
      <c r="B17" s="333"/>
      <c r="C17" s="330"/>
      <c r="D17" s="333"/>
      <c r="E17" s="330"/>
      <c r="F17" s="333"/>
      <c r="G17" s="330"/>
      <c r="H17" s="333"/>
      <c r="I17" s="330"/>
      <c r="J17" s="333"/>
      <c r="K17" s="330"/>
      <c r="L17" s="333"/>
      <c r="M17" s="330"/>
      <c r="N17" s="333"/>
      <c r="O17" s="15"/>
      <c r="P17" s="32"/>
      <c r="Q17" s="15"/>
    </row>
    <row r="18" spans="1:17" ht="12.75">
      <c r="A18" s="336" t="s">
        <v>3</v>
      </c>
      <c r="B18" s="333"/>
      <c r="C18" s="330"/>
      <c r="D18" s="333"/>
      <c r="E18" s="330"/>
      <c r="F18" s="333"/>
      <c r="G18" s="330"/>
      <c r="H18" s="333"/>
      <c r="I18" s="330"/>
      <c r="J18" s="333"/>
      <c r="K18" s="330"/>
      <c r="L18" s="333"/>
      <c r="M18" s="330"/>
      <c r="N18" s="333"/>
      <c r="O18" s="15"/>
      <c r="P18" s="32"/>
      <c r="Q18" s="15"/>
    </row>
    <row r="19" spans="1:17" ht="12.75">
      <c r="A19" s="336" t="s">
        <v>27</v>
      </c>
      <c r="B19" s="333"/>
      <c r="C19" s="330"/>
      <c r="D19" s="333"/>
      <c r="E19" s="330"/>
      <c r="F19" s="333"/>
      <c r="G19" s="330"/>
      <c r="H19" s="333"/>
      <c r="I19" s="330"/>
      <c r="J19" s="333"/>
      <c r="K19" s="330"/>
      <c r="L19" s="333"/>
      <c r="M19" s="330"/>
      <c r="N19" s="333"/>
      <c r="O19" s="15"/>
      <c r="P19" s="32"/>
      <c r="Q19" s="15"/>
    </row>
    <row r="20" spans="1:17" ht="12.75">
      <c r="A20" s="336" t="s">
        <v>28</v>
      </c>
      <c r="B20" s="333"/>
      <c r="C20" s="330"/>
      <c r="D20" s="333"/>
      <c r="E20" s="330"/>
      <c r="F20" s="333"/>
      <c r="G20" s="330"/>
      <c r="H20" s="333"/>
      <c r="I20" s="330"/>
      <c r="J20" s="333"/>
      <c r="K20" s="330"/>
      <c r="L20" s="333"/>
      <c r="M20" s="330"/>
      <c r="N20" s="333"/>
      <c r="O20" s="15"/>
      <c r="P20" s="32"/>
      <c r="Q20" s="15"/>
    </row>
    <row r="21" spans="1:17" ht="12.75">
      <c r="A21" s="336" t="s">
        <v>29</v>
      </c>
      <c r="B21" s="332"/>
      <c r="C21" s="32"/>
      <c r="D21" s="332"/>
      <c r="E21" s="32"/>
      <c r="F21" s="332"/>
      <c r="G21" s="32"/>
      <c r="H21" s="332"/>
      <c r="I21" s="32"/>
      <c r="J21" s="332"/>
      <c r="K21" s="32"/>
      <c r="L21" s="332"/>
      <c r="M21" s="32"/>
      <c r="N21" s="332"/>
      <c r="O21" s="15"/>
      <c r="P21" s="32"/>
      <c r="Q21" s="15"/>
    </row>
    <row r="22" spans="1:17" ht="12.75">
      <c r="A22" s="336" t="s">
        <v>30</v>
      </c>
      <c r="B22" s="332"/>
      <c r="C22" s="32"/>
      <c r="D22" s="332"/>
      <c r="E22" s="32"/>
      <c r="F22" s="332"/>
      <c r="G22" s="32"/>
      <c r="H22" s="332"/>
      <c r="I22" s="32"/>
      <c r="J22" s="332"/>
      <c r="K22" s="32"/>
      <c r="L22" s="332"/>
      <c r="M22" s="32"/>
      <c r="N22" s="332"/>
      <c r="O22" s="15"/>
      <c r="P22" s="32"/>
      <c r="Q22" s="15"/>
    </row>
    <row r="23" spans="1:17" ht="12.75">
      <c r="A23" s="336" t="s">
        <v>31</v>
      </c>
      <c r="B23" s="332"/>
      <c r="C23" s="32"/>
      <c r="D23" s="332"/>
      <c r="E23" s="32"/>
      <c r="F23" s="332"/>
      <c r="G23" s="32"/>
      <c r="H23" s="332"/>
      <c r="I23" s="32"/>
      <c r="J23" s="332"/>
      <c r="K23" s="32"/>
      <c r="L23" s="332"/>
      <c r="M23" s="32"/>
      <c r="N23" s="332"/>
      <c r="O23" s="15"/>
      <c r="P23" s="32"/>
      <c r="Q23" s="15"/>
    </row>
    <row r="24" spans="1:17" ht="12.75">
      <c r="A24" s="336" t="s">
        <v>32</v>
      </c>
      <c r="B24" s="332"/>
      <c r="C24" s="32"/>
      <c r="D24" s="332"/>
      <c r="E24" s="32"/>
      <c r="F24" s="332"/>
      <c r="G24" s="32"/>
      <c r="H24" s="332"/>
      <c r="I24" s="32"/>
      <c r="J24" s="332"/>
      <c r="K24" s="32"/>
      <c r="L24" s="332"/>
      <c r="M24" s="32"/>
      <c r="N24" s="332"/>
      <c r="O24" s="15"/>
      <c r="P24" s="32"/>
      <c r="Q24" s="15"/>
    </row>
    <row r="25" spans="1:17" ht="12.75">
      <c r="A25" s="337" t="s">
        <v>33</v>
      </c>
      <c r="B25" s="334"/>
      <c r="C25" s="331"/>
      <c r="D25" s="334"/>
      <c r="E25" s="331"/>
      <c r="F25" s="334"/>
      <c r="G25" s="331"/>
      <c r="H25" s="334"/>
      <c r="I25" s="331"/>
      <c r="J25" s="334"/>
      <c r="K25" s="331"/>
      <c r="L25" s="334"/>
      <c r="M25" s="331"/>
      <c r="N25" s="334"/>
      <c r="O25" s="15"/>
      <c r="P25" s="32"/>
      <c r="Q25" s="15"/>
    </row>
    <row r="26" spans="1:17" ht="12.75">
      <c r="A26" s="95"/>
      <c r="O26" s="15"/>
      <c r="P26" s="15"/>
      <c r="Q26" s="15"/>
    </row>
    <row r="27" spans="1:17" ht="12.75">
      <c r="A27" s="95"/>
      <c r="O27" s="15"/>
      <c r="P27" s="15"/>
      <c r="Q27" s="15"/>
    </row>
    <row r="28" spans="1:2" ht="12.75">
      <c r="A28" s="200" t="s">
        <v>261</v>
      </c>
      <c r="B28" s="13" t="s">
        <v>262</v>
      </c>
    </row>
    <row r="29" spans="1:4" ht="12.75">
      <c r="A29" s="340" t="s">
        <v>37</v>
      </c>
      <c r="B29" s="42"/>
      <c r="C29" s="44"/>
      <c r="D29" s="44"/>
    </row>
    <row r="30" spans="1:4" ht="12.75">
      <c r="A30" s="336" t="s">
        <v>38</v>
      </c>
      <c r="B30" s="15"/>
      <c r="C30" s="45"/>
      <c r="D30" s="45"/>
    </row>
    <row r="31" spans="1:4" ht="12.75">
      <c r="A31" s="336" t="s">
        <v>39</v>
      </c>
      <c r="B31" s="15"/>
      <c r="C31" s="46"/>
      <c r="D31" s="46"/>
    </row>
    <row r="32" spans="1:4" ht="12.75">
      <c r="A32" s="337" t="s">
        <v>40</v>
      </c>
      <c r="B32" s="43"/>
      <c r="C32" s="48"/>
      <c r="D32" s="47"/>
    </row>
    <row r="33" spans="1:5" ht="12.75">
      <c r="A33" s="95"/>
      <c r="E33" s="18"/>
    </row>
    <row r="34" spans="1:5" ht="12.75">
      <c r="A34" s="95"/>
      <c r="E34" s="18"/>
    </row>
    <row r="35" spans="1:5" ht="12.75">
      <c r="A35" s="538" t="s">
        <v>48</v>
      </c>
      <c r="B35" s="403"/>
      <c r="C35" s="403"/>
      <c r="D35" s="403"/>
      <c r="E35" s="539"/>
    </row>
    <row r="36" spans="1:5" ht="12.75">
      <c r="A36" s="540" t="s">
        <v>44</v>
      </c>
      <c r="B36" s="573"/>
      <c r="C36" s="573"/>
      <c r="D36" s="574" t="s">
        <v>45</v>
      </c>
      <c r="E36" s="575"/>
    </row>
    <row r="37" spans="1:5" ht="13.5" thickBot="1">
      <c r="A37" s="576" t="s">
        <v>41</v>
      </c>
      <c r="B37" s="577" t="s">
        <v>42</v>
      </c>
      <c r="C37" s="578" t="s">
        <v>43</v>
      </c>
      <c r="D37" s="579" t="s">
        <v>46</v>
      </c>
      <c r="E37" s="579" t="s">
        <v>47</v>
      </c>
    </row>
    <row r="38" spans="1:5" ht="13.5" thickTop="1">
      <c r="A38" s="580"/>
      <c r="B38" s="581"/>
      <c r="C38" s="582"/>
      <c r="D38" s="583"/>
      <c r="E38" s="584"/>
    </row>
    <row r="39" spans="1:5" ht="12.75">
      <c r="A39" s="585"/>
      <c r="B39" s="405"/>
      <c r="C39" s="586"/>
      <c r="D39" s="587"/>
      <c r="E39" s="588"/>
    </row>
    <row r="40" spans="1:5" ht="12.75">
      <c r="A40" s="585"/>
      <c r="B40" s="405"/>
      <c r="C40" s="586"/>
      <c r="D40" s="425"/>
      <c r="E40" s="584"/>
    </row>
    <row r="41" spans="1:5" ht="12.75">
      <c r="A41" s="585"/>
      <c r="B41" s="405"/>
      <c r="C41" s="586"/>
      <c r="D41" s="425"/>
      <c r="E41" s="584"/>
    </row>
    <row r="42" spans="1:5" ht="12.75">
      <c r="A42" s="585"/>
      <c r="B42" s="405"/>
      <c r="C42" s="586"/>
      <c r="D42" s="425"/>
      <c r="E42" s="584"/>
    </row>
    <row r="43" spans="1:5" ht="12.75">
      <c r="A43" s="585"/>
      <c r="B43" s="405"/>
      <c r="C43" s="586"/>
      <c r="D43" s="425"/>
      <c r="E43" s="584"/>
    </row>
    <row r="44" spans="1:5" ht="12.75">
      <c r="A44" s="585"/>
      <c r="B44" s="405"/>
      <c r="C44" s="586"/>
      <c r="D44" s="425"/>
      <c r="E44" s="584"/>
    </row>
    <row r="45" spans="1:5" ht="12.75">
      <c r="A45" s="585"/>
      <c r="B45" s="405"/>
      <c r="C45" s="586"/>
      <c r="D45" s="425"/>
      <c r="E45" s="584"/>
    </row>
    <row r="46" spans="1:5" ht="12.75">
      <c r="A46" s="585"/>
      <c r="B46" s="405"/>
      <c r="C46" s="586"/>
      <c r="D46" s="425"/>
      <c r="E46" s="584"/>
    </row>
    <row r="47" spans="1:5" ht="12.75">
      <c r="A47" s="585"/>
      <c r="B47" s="405"/>
      <c r="C47" s="586"/>
      <c r="D47" s="425"/>
      <c r="E47" s="584"/>
    </row>
    <row r="48" spans="1:5" ht="12.75">
      <c r="A48" s="585"/>
      <c r="B48" s="405"/>
      <c r="C48" s="586"/>
      <c r="D48" s="425"/>
      <c r="E48" s="584"/>
    </row>
    <row r="49" spans="1:5" ht="12.75">
      <c r="A49" s="585"/>
      <c r="B49" s="405"/>
      <c r="C49" s="586"/>
      <c r="D49" s="425"/>
      <c r="E49" s="584"/>
    </row>
    <row r="50" spans="1:5" ht="13.5" thickBot="1">
      <c r="A50" s="589"/>
      <c r="B50" s="590"/>
      <c r="C50" s="591"/>
      <c r="D50" s="427"/>
      <c r="E50" s="592"/>
    </row>
    <row r="51" spans="1:5" ht="12.75">
      <c r="A51" s="593"/>
      <c r="B51" s="594"/>
      <c r="C51" s="594" t="s">
        <v>32</v>
      </c>
      <c r="D51" s="501"/>
      <c r="E51" s="595"/>
    </row>
    <row r="78" ht="12.75">
      <c r="A78" s="354" t="s">
        <v>266</v>
      </c>
    </row>
    <row r="79" spans="1:5" ht="12.75">
      <c r="A79" s="200" t="s">
        <v>52</v>
      </c>
      <c r="E79" s="18"/>
    </row>
    <row r="80" spans="1:6" ht="12.75">
      <c r="A80" s="39" t="s">
        <v>53</v>
      </c>
      <c r="B80" s="59" t="s">
        <v>49</v>
      </c>
      <c r="C80" s="59" t="s">
        <v>49</v>
      </c>
      <c r="D80" s="653" t="s">
        <v>61</v>
      </c>
      <c r="E80" s="653"/>
      <c r="F80" s="654"/>
    </row>
    <row r="81" spans="1:6" ht="13.5" thickBot="1">
      <c r="A81" s="34" t="s">
        <v>42</v>
      </c>
      <c r="B81" s="35" t="s">
        <v>50</v>
      </c>
      <c r="C81" s="35" t="s">
        <v>60</v>
      </c>
      <c r="D81" s="36" t="s">
        <v>62</v>
      </c>
      <c r="E81" s="38" t="s">
        <v>63</v>
      </c>
      <c r="F81" s="230" t="s">
        <v>64</v>
      </c>
    </row>
    <row r="82" spans="1:6" ht="13.5" thickTop="1">
      <c r="A82" s="273"/>
      <c r="B82" s="4"/>
      <c r="C82" s="17"/>
      <c r="D82" s="50"/>
      <c r="E82" s="54"/>
      <c r="F82" s="51"/>
    </row>
    <row r="83" spans="1:6" ht="12.75">
      <c r="A83" s="273"/>
      <c r="B83" s="4"/>
      <c r="C83" s="17"/>
      <c r="D83" s="50"/>
      <c r="E83" s="54"/>
      <c r="F83" s="51"/>
    </row>
    <row r="84" spans="1:6" ht="12.75">
      <c r="A84" s="273"/>
      <c r="B84" s="4"/>
      <c r="C84" s="17"/>
      <c r="D84" s="50"/>
      <c r="E84" s="54"/>
      <c r="F84" s="51"/>
    </row>
    <row r="85" spans="1:6" ht="12.75">
      <c r="A85" s="273"/>
      <c r="B85" s="4"/>
      <c r="C85" s="17"/>
      <c r="D85" s="50"/>
      <c r="E85" s="54"/>
      <c r="F85" s="51"/>
    </row>
    <row r="86" spans="1:6" ht="12.75">
      <c r="A86" s="273"/>
      <c r="B86" s="4"/>
      <c r="C86" s="17"/>
      <c r="D86" s="50"/>
      <c r="E86" s="54"/>
      <c r="F86" s="51"/>
    </row>
    <row r="87" spans="1:6" ht="12.75">
      <c r="A87" s="273"/>
      <c r="B87" s="4"/>
      <c r="C87" s="17"/>
      <c r="D87" s="50"/>
      <c r="E87" s="54"/>
      <c r="F87" s="51"/>
    </row>
    <row r="88" spans="1:6" ht="12.75">
      <c r="A88" s="273"/>
      <c r="B88" s="4"/>
      <c r="C88" s="17"/>
      <c r="D88" s="50"/>
      <c r="E88" s="54"/>
      <c r="F88" s="51"/>
    </row>
    <row r="89" spans="1:6" ht="12.75">
      <c r="A89" s="273"/>
      <c r="B89" s="4"/>
      <c r="C89" s="17"/>
      <c r="D89" s="50"/>
      <c r="E89" s="54"/>
      <c r="F89" s="51"/>
    </row>
    <row r="90" spans="1:6" ht="12.75">
      <c r="A90" s="273"/>
      <c r="B90" s="4"/>
      <c r="C90" s="17"/>
      <c r="D90" s="50"/>
      <c r="E90" s="54"/>
      <c r="F90" s="51"/>
    </row>
    <row r="91" spans="1:6" ht="12.75">
      <c r="A91" s="273"/>
      <c r="B91" s="4"/>
      <c r="C91" s="17"/>
      <c r="D91" s="50"/>
      <c r="E91" s="54"/>
      <c r="F91" s="51"/>
    </row>
    <row r="92" spans="1:6" ht="12.75">
      <c r="A92" s="273"/>
      <c r="B92" s="4"/>
      <c r="C92" s="17"/>
      <c r="D92" s="50"/>
      <c r="E92" s="54"/>
      <c r="F92" s="51"/>
    </row>
    <row r="93" spans="1:6" ht="12.75">
      <c r="A93" s="273"/>
      <c r="B93" s="4"/>
      <c r="C93" s="17"/>
      <c r="D93" s="50"/>
      <c r="E93" s="54"/>
      <c r="F93" s="51"/>
    </row>
    <row r="94" spans="1:6" ht="13.5" thickBot="1">
      <c r="A94" s="274"/>
      <c r="B94" s="55"/>
      <c r="C94" s="37"/>
      <c r="D94" s="56"/>
      <c r="E94" s="57"/>
      <c r="F94" s="58"/>
    </row>
    <row r="95" spans="1:6" ht="12.75">
      <c r="A95" s="273"/>
      <c r="B95" s="15"/>
      <c r="C95" s="15"/>
      <c r="D95" s="15"/>
      <c r="E95" s="52"/>
      <c r="F95" s="51"/>
    </row>
    <row r="96" spans="1:6" ht="12.75">
      <c r="A96" s="601" t="s">
        <v>54</v>
      </c>
      <c r="B96" s="42"/>
      <c r="C96" s="1"/>
      <c r="D96" s="558" t="s">
        <v>57</v>
      </c>
      <c r="E96" s="61"/>
      <c r="F96" s="73"/>
    </row>
    <row r="97" spans="1:6" ht="12.75">
      <c r="A97" s="371" t="s">
        <v>55</v>
      </c>
      <c r="B97" s="15"/>
      <c r="C97" s="49"/>
      <c r="D97" s="371" t="s">
        <v>58</v>
      </c>
      <c r="E97" s="62"/>
      <c r="F97" s="74"/>
    </row>
    <row r="98" spans="1:6" ht="12.75">
      <c r="A98" s="369" t="s">
        <v>56</v>
      </c>
      <c r="B98" s="43"/>
      <c r="C98" s="72"/>
      <c r="D98" s="371" t="s">
        <v>59</v>
      </c>
      <c r="E98" s="62"/>
      <c r="F98" s="75"/>
    </row>
    <row r="99" spans="1:6" ht="12.75">
      <c r="A99" s="93"/>
      <c r="B99" s="15"/>
      <c r="C99" s="15"/>
      <c r="D99" s="371" t="s">
        <v>65</v>
      </c>
      <c r="E99" s="62"/>
      <c r="F99" s="79"/>
    </row>
    <row r="100" spans="1:6" ht="12.75">
      <c r="A100" s="94"/>
      <c r="B100" s="43"/>
      <c r="C100" s="43"/>
      <c r="D100" s="369" t="s">
        <v>66</v>
      </c>
      <c r="E100" s="63"/>
      <c r="F100" s="80"/>
    </row>
    <row r="103" spans="1:7" ht="12.75">
      <c r="A103" s="200" t="s">
        <v>251</v>
      </c>
      <c r="E103" s="18"/>
      <c r="F103" s="18" t="s">
        <v>267</v>
      </c>
      <c r="G103" s="18" t="s">
        <v>46</v>
      </c>
    </row>
    <row r="104" spans="1:10" ht="12.75">
      <c r="A104" s="655" t="s">
        <v>73</v>
      </c>
      <c r="B104" s="656"/>
      <c r="C104" s="655" t="s">
        <v>75</v>
      </c>
      <c r="D104" s="657"/>
      <c r="E104" s="656"/>
      <c r="F104" s="655" t="s">
        <v>69</v>
      </c>
      <c r="G104" s="656"/>
      <c r="H104" s="346" t="s">
        <v>72</v>
      </c>
      <c r="I104" s="346"/>
      <c r="J104" s="347" t="s">
        <v>264</v>
      </c>
    </row>
    <row r="105" spans="1:10" ht="13.5" thickBot="1">
      <c r="A105" s="348" t="s">
        <v>41</v>
      </c>
      <c r="B105" s="349" t="s">
        <v>43</v>
      </c>
      <c r="C105" s="350" t="s">
        <v>76</v>
      </c>
      <c r="D105" s="349" t="s">
        <v>51</v>
      </c>
      <c r="E105" s="350" t="s">
        <v>74</v>
      </c>
      <c r="F105" s="349" t="s">
        <v>70</v>
      </c>
      <c r="G105" s="350" t="s">
        <v>51</v>
      </c>
      <c r="H105" s="351" t="s">
        <v>71</v>
      </c>
      <c r="I105" s="352" t="s">
        <v>263</v>
      </c>
      <c r="J105" s="353" t="s">
        <v>265</v>
      </c>
    </row>
    <row r="106" spans="1:10" ht="13.5" thickTop="1">
      <c r="A106" s="344"/>
      <c r="B106" s="65"/>
      <c r="C106" s="15"/>
      <c r="D106" s="4"/>
      <c r="E106" s="50"/>
      <c r="F106" s="64"/>
      <c r="G106" s="66"/>
      <c r="H106" s="64"/>
      <c r="I106" s="84"/>
      <c r="J106" s="51"/>
    </row>
    <row r="107" spans="1:10" ht="12.75">
      <c r="A107" s="344"/>
      <c r="B107" s="65"/>
      <c r="C107" s="15"/>
      <c r="D107" s="4"/>
      <c r="E107" s="50"/>
      <c r="F107" s="64"/>
      <c r="G107" s="66"/>
      <c r="H107" s="64"/>
      <c r="I107" s="84"/>
      <c r="J107" s="51"/>
    </row>
    <row r="108" spans="1:10" ht="12.75">
      <c r="A108" s="344"/>
      <c r="B108" s="65"/>
      <c r="C108" s="15"/>
      <c r="D108" s="4"/>
      <c r="E108" s="50"/>
      <c r="F108" s="81"/>
      <c r="G108" s="66"/>
      <c r="H108" s="83"/>
      <c r="I108" s="84"/>
      <c r="J108" s="51"/>
    </row>
    <row r="109" spans="1:10" ht="12.75">
      <c r="A109" s="344"/>
      <c r="B109" s="65"/>
      <c r="C109" s="15"/>
      <c r="D109" s="4"/>
      <c r="E109" s="50"/>
      <c r="F109" s="64"/>
      <c r="G109" s="66"/>
      <c r="H109" s="64"/>
      <c r="I109" s="84"/>
      <c r="J109" s="51"/>
    </row>
    <row r="110" spans="1:10" ht="12.75">
      <c r="A110" s="344"/>
      <c r="B110" s="65"/>
      <c r="C110" s="15"/>
      <c r="D110" s="4"/>
      <c r="E110" s="50"/>
      <c r="F110" s="64"/>
      <c r="G110" s="66"/>
      <c r="H110" s="64"/>
      <c r="I110" s="84"/>
      <c r="J110" s="51"/>
    </row>
    <row r="111" spans="1:10" ht="12.75">
      <c r="A111" s="344"/>
      <c r="B111" s="65"/>
      <c r="C111" s="15"/>
      <c r="D111" s="4"/>
      <c r="E111" s="50"/>
      <c r="F111" s="64"/>
      <c r="G111" s="66"/>
      <c r="H111" s="64"/>
      <c r="I111" s="84"/>
      <c r="J111" s="51"/>
    </row>
    <row r="112" spans="1:10" ht="12.75">
      <c r="A112" s="344"/>
      <c r="B112" s="65"/>
      <c r="C112" s="15"/>
      <c r="D112" s="4"/>
      <c r="E112" s="50"/>
      <c r="F112" s="64"/>
      <c r="G112" s="66"/>
      <c r="H112" s="64"/>
      <c r="I112" s="84"/>
      <c r="J112" s="51"/>
    </row>
    <row r="113" spans="1:10" ht="12.75">
      <c r="A113" s="344"/>
      <c r="B113" s="65"/>
      <c r="C113" s="15"/>
      <c r="D113" s="4"/>
      <c r="E113" s="50"/>
      <c r="F113" s="64"/>
      <c r="G113" s="66"/>
      <c r="H113" s="64"/>
      <c r="I113" s="84"/>
      <c r="J113" s="51"/>
    </row>
    <row r="114" spans="1:10" ht="12.75">
      <c r="A114" s="344"/>
      <c r="B114" s="65"/>
      <c r="C114" s="15"/>
      <c r="D114" s="4"/>
      <c r="E114" s="50"/>
      <c r="F114" s="64"/>
      <c r="G114" s="66"/>
      <c r="H114" s="64"/>
      <c r="I114" s="84"/>
      <c r="J114" s="51"/>
    </row>
    <row r="115" spans="1:10" ht="12.75">
      <c r="A115" s="344"/>
      <c r="B115" s="65"/>
      <c r="C115" s="15"/>
      <c r="D115" s="4"/>
      <c r="E115" s="50"/>
      <c r="F115" s="64"/>
      <c r="G115" s="66"/>
      <c r="H115" s="64"/>
      <c r="I115" s="84"/>
      <c r="J115" s="51"/>
    </row>
    <row r="116" spans="1:10" ht="12.75">
      <c r="A116" s="344"/>
      <c r="B116" s="65"/>
      <c r="C116" s="15"/>
      <c r="D116" s="4"/>
      <c r="E116" s="50"/>
      <c r="F116" s="64"/>
      <c r="G116" s="66"/>
      <c r="H116" s="64"/>
      <c r="I116" s="84"/>
      <c r="J116" s="51"/>
    </row>
    <row r="117" spans="1:10" ht="13.5" thickBot="1">
      <c r="A117" s="345"/>
      <c r="B117" s="67"/>
      <c r="C117" s="68"/>
      <c r="D117" s="55"/>
      <c r="E117" s="82"/>
      <c r="F117" s="69"/>
      <c r="G117" s="70"/>
      <c r="H117" s="69"/>
      <c r="I117" s="343"/>
      <c r="J117" s="58"/>
    </row>
    <row r="118" spans="1:10" ht="12.75">
      <c r="A118" s="93"/>
      <c r="B118" s="15"/>
      <c r="C118" s="11">
        <f>SUM(C106:C117)</f>
        <v>0</v>
      </c>
      <c r="D118" s="15"/>
      <c r="E118" s="52"/>
      <c r="F118" s="71" t="s">
        <v>67</v>
      </c>
      <c r="G118" s="15"/>
      <c r="H118" s="285"/>
      <c r="I118" s="84"/>
      <c r="J118" s="355"/>
    </row>
    <row r="119" spans="1:10" ht="12.75">
      <c r="A119" s="94"/>
      <c r="B119" s="43"/>
      <c r="C119" s="43"/>
      <c r="D119" s="43"/>
      <c r="E119" s="53"/>
      <c r="F119" s="43" t="s">
        <v>68</v>
      </c>
      <c r="G119" s="43"/>
      <c r="H119" s="219"/>
      <c r="I119" s="97"/>
      <c r="J119" s="356"/>
    </row>
    <row r="121" ht="12.75">
      <c r="F121" s="78"/>
    </row>
    <row r="142" ht="12.75">
      <c r="A142" s="354" t="s">
        <v>268</v>
      </c>
    </row>
    <row r="165" ht="12.75">
      <c r="A165" s="200" t="s">
        <v>252</v>
      </c>
    </row>
    <row r="166" spans="1:4" ht="13.5" thickBot="1">
      <c r="A166" s="279" t="s">
        <v>78</v>
      </c>
      <c r="B166" s="111"/>
      <c r="C166" s="111"/>
      <c r="D166" s="20"/>
    </row>
    <row r="167" spans="1:4" ht="13.5" thickTop="1">
      <c r="A167" s="93" t="s">
        <v>79</v>
      </c>
      <c r="B167" s="15"/>
      <c r="C167" s="15"/>
      <c r="D167" s="4"/>
    </row>
    <row r="168" spans="1:4" ht="12.75">
      <c r="A168" s="93" t="s">
        <v>56</v>
      </c>
      <c r="B168" s="15"/>
      <c r="C168" s="15"/>
      <c r="D168" s="17"/>
    </row>
    <row r="169" spans="1:4" ht="12.75">
      <c r="A169" s="93" t="s">
        <v>80</v>
      </c>
      <c r="B169" s="15"/>
      <c r="C169" s="15"/>
      <c r="D169" s="16"/>
    </row>
    <row r="170" spans="1:4" ht="12.75">
      <c r="A170" s="94" t="s">
        <v>81</v>
      </c>
      <c r="B170" s="43"/>
      <c r="C170" s="43"/>
      <c r="D170" s="357"/>
    </row>
    <row r="173" spans="1:4" ht="13.5" thickBot="1">
      <c r="A173" s="279" t="s">
        <v>82</v>
      </c>
      <c r="B173" s="286"/>
      <c r="C173" s="286"/>
      <c r="D173" s="287"/>
    </row>
    <row r="174" spans="1:4" ht="13.5" thickTop="1">
      <c r="A174" s="93" t="s">
        <v>83</v>
      </c>
      <c r="B174" s="15"/>
      <c r="C174" s="15"/>
      <c r="D174" s="4"/>
    </row>
    <row r="175" spans="1:4" ht="12.75">
      <c r="A175" s="93" t="s">
        <v>84</v>
      </c>
      <c r="B175" s="15"/>
      <c r="C175" s="15"/>
      <c r="D175" s="4"/>
    </row>
    <row r="176" spans="1:4" ht="12.75">
      <c r="A176" s="93" t="s">
        <v>85</v>
      </c>
      <c r="B176" s="15"/>
      <c r="C176" s="15"/>
      <c r="D176" s="65"/>
    </row>
    <row r="177" spans="1:4" ht="12.75">
      <c r="A177" s="93" t="s">
        <v>86</v>
      </c>
      <c r="B177" s="15"/>
      <c r="C177" s="15"/>
      <c r="D177" s="4"/>
    </row>
    <row r="178" spans="1:4" ht="12.75">
      <c r="A178" s="93" t="s">
        <v>87</v>
      </c>
      <c r="B178" s="15"/>
      <c r="C178" s="15"/>
      <c r="D178" s="4"/>
    </row>
    <row r="179" spans="1:4" ht="12.75">
      <c r="A179" s="93" t="s">
        <v>88</v>
      </c>
      <c r="B179" s="15"/>
      <c r="C179" s="15"/>
      <c r="D179" s="358"/>
    </row>
    <row r="180" spans="1:4" ht="12.75">
      <c r="A180" s="94" t="s">
        <v>89</v>
      </c>
      <c r="B180" s="43"/>
      <c r="C180" s="43"/>
      <c r="D180" s="359"/>
    </row>
    <row r="183" spans="1:2" ht="12.75">
      <c r="A183" s="13" t="s">
        <v>269</v>
      </c>
      <c r="B183" s="13" t="s">
        <v>270</v>
      </c>
    </row>
    <row r="184" spans="1:4" ht="13.5" thickBot="1">
      <c r="A184" s="279" t="s">
        <v>253</v>
      </c>
      <c r="B184" s="286"/>
      <c r="C184" s="286"/>
      <c r="D184" s="287"/>
    </row>
    <row r="185" spans="1:4" ht="13.5" thickTop="1">
      <c r="A185" s="190" t="s">
        <v>90</v>
      </c>
      <c r="B185" s="42"/>
      <c r="C185" s="42"/>
      <c r="D185" s="288"/>
    </row>
    <row r="186" spans="1:4" ht="12.75">
      <c r="A186" s="93" t="s">
        <v>91</v>
      </c>
      <c r="B186" s="15"/>
      <c r="C186" s="15"/>
      <c r="D186" s="17"/>
    </row>
    <row r="187" spans="1:4" ht="12.75">
      <c r="A187" s="93" t="s">
        <v>92</v>
      </c>
      <c r="B187" s="15"/>
      <c r="C187" s="15"/>
      <c r="D187" s="4"/>
    </row>
    <row r="188" spans="1:4" ht="12.75">
      <c r="A188" s="93" t="s">
        <v>80</v>
      </c>
      <c r="B188" s="15"/>
      <c r="C188" s="15"/>
      <c r="D188" s="16"/>
    </row>
    <row r="189" spans="1:4" ht="12.75">
      <c r="A189" s="93" t="s">
        <v>93</v>
      </c>
      <c r="B189" s="15"/>
      <c r="C189" s="15"/>
      <c r="D189" s="4"/>
    </row>
    <row r="190" spans="1:4" ht="12.75">
      <c r="A190" s="93" t="s">
        <v>94</v>
      </c>
      <c r="B190" s="15"/>
      <c r="C190" s="15"/>
      <c r="D190" s="358"/>
    </row>
    <row r="191" spans="1:4" ht="12.75">
      <c r="A191" s="94" t="s">
        <v>95</v>
      </c>
      <c r="B191" s="43"/>
      <c r="C191" s="43"/>
      <c r="D191" s="167"/>
    </row>
    <row r="195" spans="1:2" ht="12.75">
      <c r="A195" s="200" t="s">
        <v>96</v>
      </c>
      <c r="B195" s="13" t="s">
        <v>97</v>
      </c>
    </row>
    <row r="196" spans="1:3" ht="12.75">
      <c r="A196" s="59" t="s">
        <v>98</v>
      </c>
      <c r="B196" s="653" t="s">
        <v>49</v>
      </c>
      <c r="C196" s="654"/>
    </row>
    <row r="197" spans="1:3" ht="13.5" thickBot="1">
      <c r="A197" s="34" t="s">
        <v>99</v>
      </c>
      <c r="B197" s="38" t="s">
        <v>50</v>
      </c>
      <c r="C197" s="86" t="s">
        <v>100</v>
      </c>
    </row>
    <row r="198" spans="1:3" ht="13.5" thickTop="1">
      <c r="A198" s="276"/>
      <c r="B198" s="4"/>
      <c r="C198" s="87"/>
    </row>
    <row r="199" spans="1:3" ht="12.75">
      <c r="A199" s="93"/>
      <c r="B199" s="4"/>
      <c r="C199" s="87"/>
    </row>
    <row r="200" spans="1:3" ht="12.75">
      <c r="A200" s="276"/>
      <c r="B200" s="4"/>
      <c r="C200" s="87"/>
    </row>
    <row r="201" spans="1:3" ht="12.75">
      <c r="A201" s="93"/>
      <c r="B201" s="4"/>
      <c r="C201" s="87"/>
    </row>
    <row r="202" spans="1:3" ht="12.75">
      <c r="A202" s="276"/>
      <c r="B202" s="4"/>
      <c r="C202" s="87"/>
    </row>
    <row r="203" spans="1:3" ht="12.75">
      <c r="A203" s="93"/>
      <c r="B203" s="4"/>
      <c r="C203" s="87"/>
    </row>
    <row r="204" spans="1:3" ht="13.5" thickBot="1">
      <c r="A204" s="277"/>
      <c r="B204" s="55"/>
      <c r="C204" s="88"/>
    </row>
    <row r="205" spans="1:3" ht="12.75">
      <c r="A205" s="94" t="s">
        <v>101</v>
      </c>
      <c r="B205" s="7"/>
      <c r="C205" s="85"/>
    </row>
    <row r="226" ht="12.75">
      <c r="A226" s="200" t="s">
        <v>254</v>
      </c>
    </row>
    <row r="227" spans="1:5" ht="13.5" thickBot="1">
      <c r="A227" s="335" t="s">
        <v>36</v>
      </c>
      <c r="B227" s="367" t="s">
        <v>104</v>
      </c>
      <c r="C227" s="367" t="s">
        <v>103</v>
      </c>
      <c r="D227" s="368" t="s">
        <v>105</v>
      </c>
      <c r="E227" s="18"/>
    </row>
    <row r="228" spans="1:5" ht="13.5" thickTop="1">
      <c r="A228" s="369" t="s">
        <v>102</v>
      </c>
      <c r="B228" s="7"/>
      <c r="C228" s="7"/>
      <c r="D228" s="85"/>
      <c r="E228" s="18"/>
    </row>
    <row r="229" spans="1:5" ht="12.75">
      <c r="A229" s="95"/>
      <c r="E229" s="18"/>
    </row>
    <row r="230" spans="1:5" ht="12.75">
      <c r="A230" s="95"/>
      <c r="E230" s="18"/>
    </row>
    <row r="231" spans="1:5" ht="12.75">
      <c r="A231" s="95"/>
      <c r="E231" s="18"/>
    </row>
    <row r="232" spans="1:5" ht="13.5" thickBot="1">
      <c r="A232" s="102" t="s">
        <v>36</v>
      </c>
      <c r="B232" s="38" t="s">
        <v>104</v>
      </c>
      <c r="C232" s="103" t="s">
        <v>103</v>
      </c>
      <c r="D232" s="38" t="s">
        <v>105</v>
      </c>
      <c r="E232" s="38" t="s">
        <v>110</v>
      </c>
    </row>
    <row r="233" spans="1:5" ht="13.5" thickTop="1">
      <c r="A233" s="370" t="s">
        <v>107</v>
      </c>
      <c r="B233" s="84"/>
      <c r="C233" s="98"/>
      <c r="D233" s="4"/>
      <c r="E233" s="107"/>
    </row>
    <row r="234" spans="1:5" ht="12.75">
      <c r="A234" s="371" t="s">
        <v>108</v>
      </c>
      <c r="B234" s="4"/>
      <c r="C234" s="15"/>
      <c r="D234" s="4"/>
      <c r="E234" s="107"/>
    </row>
    <row r="235" spans="1:5" ht="13.5" thickBot="1">
      <c r="A235" s="372" t="s">
        <v>56</v>
      </c>
      <c r="B235" s="96"/>
      <c r="C235" s="99"/>
      <c r="D235" s="366"/>
      <c r="E235" s="109"/>
    </row>
    <row r="236" spans="1:5" ht="13.5" thickTop="1">
      <c r="A236" s="372" t="s">
        <v>106</v>
      </c>
      <c r="B236" s="17"/>
      <c r="C236" s="100"/>
      <c r="D236" s="17"/>
      <c r="E236" s="107"/>
    </row>
    <row r="237" spans="1:5" ht="12.75">
      <c r="A237" s="371" t="s">
        <v>109</v>
      </c>
      <c r="B237" s="4"/>
      <c r="C237" s="15"/>
      <c r="D237" s="4"/>
      <c r="E237" s="107"/>
    </row>
    <row r="238" spans="1:5" ht="13.5" thickBot="1">
      <c r="A238" s="372" t="s">
        <v>56</v>
      </c>
      <c r="B238" s="17"/>
      <c r="C238" s="100"/>
      <c r="D238" s="17"/>
      <c r="E238" s="109"/>
    </row>
    <row r="239" spans="1:5" ht="13.5" thickTop="1">
      <c r="A239" s="373" t="s">
        <v>106</v>
      </c>
      <c r="B239" s="97"/>
      <c r="C239" s="101"/>
      <c r="D239" s="97"/>
      <c r="E239" s="108"/>
    </row>
    <row r="242" ht="12.75">
      <c r="A242" s="200" t="s">
        <v>111</v>
      </c>
    </row>
    <row r="243" spans="1:4" ht="13.5" thickBot="1">
      <c r="A243" s="335" t="s">
        <v>112</v>
      </c>
      <c r="B243" s="111"/>
      <c r="C243" s="111"/>
      <c r="D243" s="20"/>
    </row>
    <row r="244" spans="1:4" ht="13.5" thickTop="1">
      <c r="A244" s="371" t="s">
        <v>113</v>
      </c>
      <c r="B244" s="15"/>
      <c r="C244" s="15"/>
      <c r="D244" s="110"/>
    </row>
    <row r="245" spans="1:4" ht="12.75">
      <c r="A245" s="371" t="s">
        <v>114</v>
      </c>
      <c r="B245" s="15"/>
      <c r="C245" s="15"/>
      <c r="D245" s="110"/>
    </row>
    <row r="246" spans="1:4" ht="12.75">
      <c r="A246" s="371" t="s">
        <v>93</v>
      </c>
      <c r="B246" s="15"/>
      <c r="C246" s="15"/>
      <c r="D246" s="110"/>
    </row>
    <row r="247" spans="1:4" ht="12.75">
      <c r="A247" s="371" t="s">
        <v>115</v>
      </c>
      <c r="B247" s="15"/>
      <c r="C247" s="15"/>
      <c r="D247" s="74"/>
    </row>
    <row r="248" spans="1:4" ht="12.75">
      <c r="A248" s="369" t="s">
        <v>116</v>
      </c>
      <c r="B248" s="43"/>
      <c r="C248" s="43"/>
      <c r="D248" s="112"/>
    </row>
    <row r="253" ht="12.75">
      <c r="A253" s="354" t="s">
        <v>273</v>
      </c>
    </row>
    <row r="254" spans="1:5" ht="13.5" thickBot="1">
      <c r="A254" s="374"/>
      <c r="B254" s="375" t="s">
        <v>104</v>
      </c>
      <c r="C254" s="376" t="s">
        <v>103</v>
      </c>
      <c r="D254" s="375" t="s">
        <v>101</v>
      </c>
      <c r="E254" s="377" t="s">
        <v>274</v>
      </c>
    </row>
    <row r="255" spans="1:5" ht="13.5" thickTop="1">
      <c r="A255" s="378" t="s">
        <v>271</v>
      </c>
      <c r="B255" s="379"/>
      <c r="C255" s="380"/>
      <c r="D255" s="379"/>
      <c r="E255" s="381"/>
    </row>
    <row r="256" spans="1:5" ht="12.75">
      <c r="A256" s="382" t="s">
        <v>204</v>
      </c>
      <c r="B256" s="379"/>
      <c r="C256" s="380"/>
      <c r="D256" s="379"/>
      <c r="E256" s="381"/>
    </row>
    <row r="257" spans="1:5" ht="12.75">
      <c r="A257" s="382" t="s">
        <v>92</v>
      </c>
      <c r="B257" s="379"/>
      <c r="C257" s="380"/>
      <c r="D257" s="379"/>
      <c r="E257" s="381"/>
    </row>
    <row r="258" spans="1:5" ht="13.5" thickBot="1">
      <c r="A258" s="382" t="s">
        <v>272</v>
      </c>
      <c r="B258" s="383"/>
      <c r="C258" s="384"/>
      <c r="D258" s="389"/>
      <c r="E258" s="390"/>
    </row>
    <row r="259" spans="1:5" ht="12.75">
      <c r="A259" s="385"/>
      <c r="B259" s="386"/>
      <c r="C259" s="387" t="s">
        <v>136</v>
      </c>
      <c r="D259" s="388"/>
      <c r="E259" s="391"/>
    </row>
    <row r="265" spans="1:3" ht="13.5" thickBot="1">
      <c r="A265" s="392" t="s">
        <v>126</v>
      </c>
      <c r="B265" s="393"/>
      <c r="C265" s="395"/>
    </row>
    <row r="266" spans="1:3" ht="13.5" thickTop="1">
      <c r="A266" s="394" t="s">
        <v>120</v>
      </c>
      <c r="B266" s="380"/>
      <c r="C266" s="379"/>
    </row>
    <row r="267" spans="1:3" ht="12.75">
      <c r="A267" s="394" t="s">
        <v>121</v>
      </c>
      <c r="B267" s="380"/>
      <c r="C267" s="379"/>
    </row>
    <row r="268" spans="1:6" ht="12.75">
      <c r="A268" s="394" t="s">
        <v>122</v>
      </c>
      <c r="B268" s="380"/>
      <c r="C268" s="396"/>
      <c r="F268" s="76"/>
    </row>
    <row r="269" spans="1:4" ht="12.75">
      <c r="A269" s="394" t="s">
        <v>123</v>
      </c>
      <c r="B269" s="380"/>
      <c r="C269" s="396"/>
      <c r="D269" s="113"/>
    </row>
    <row r="270" spans="1:3" ht="12.75">
      <c r="A270" s="394" t="s">
        <v>118</v>
      </c>
      <c r="B270" s="380"/>
      <c r="C270" s="396"/>
    </row>
    <row r="271" spans="1:3" ht="12.75">
      <c r="A271" s="394" t="s">
        <v>275</v>
      </c>
      <c r="B271" s="380"/>
      <c r="C271" s="396"/>
    </row>
    <row r="272" spans="1:4" ht="12.75">
      <c r="A272" s="394" t="s">
        <v>124</v>
      </c>
      <c r="B272" s="380"/>
      <c r="C272" s="397"/>
      <c r="D272" s="76"/>
    </row>
    <row r="273" spans="1:3" ht="12.75">
      <c r="A273" s="394" t="s">
        <v>125</v>
      </c>
      <c r="B273" s="380"/>
      <c r="C273" s="397"/>
    </row>
    <row r="274" spans="1:3" ht="12.75">
      <c r="A274" s="394" t="s">
        <v>119</v>
      </c>
      <c r="B274" s="380"/>
      <c r="C274" s="398"/>
    </row>
    <row r="275" spans="1:3" ht="12.75">
      <c r="A275" s="394" t="s">
        <v>117</v>
      </c>
      <c r="B275" s="380"/>
      <c r="C275" s="400"/>
    </row>
    <row r="276" spans="1:3" ht="12.75">
      <c r="A276" s="399" t="s">
        <v>276</v>
      </c>
      <c r="B276" s="43"/>
      <c r="C276" s="401"/>
    </row>
    <row r="281" spans="1:3" ht="13.5" thickBot="1">
      <c r="A281" s="392" t="s">
        <v>277</v>
      </c>
      <c r="B281" s="393"/>
      <c r="C281" s="395"/>
    </row>
    <row r="282" spans="1:3" ht="13.5" thickTop="1">
      <c r="A282" s="394" t="s">
        <v>120</v>
      </c>
      <c r="B282" s="380"/>
      <c r="C282" s="379"/>
    </row>
    <row r="283" spans="1:3" ht="12.75">
      <c r="A283" s="394" t="s">
        <v>121</v>
      </c>
      <c r="B283" s="380"/>
      <c r="C283" s="379"/>
    </row>
    <row r="284" spans="1:3" ht="12.75">
      <c r="A284" s="394" t="s">
        <v>122</v>
      </c>
      <c r="B284" s="380"/>
      <c r="C284" s="396"/>
    </row>
    <row r="285" spans="1:3" ht="12.75">
      <c r="A285" s="394" t="s">
        <v>123</v>
      </c>
      <c r="B285" s="380"/>
      <c r="C285" s="396"/>
    </row>
    <row r="286" spans="1:3" ht="12.75">
      <c r="A286" s="394" t="s">
        <v>118</v>
      </c>
      <c r="B286" s="380"/>
      <c r="C286" s="396"/>
    </row>
    <row r="287" spans="1:3" ht="12.75">
      <c r="A287" s="394" t="s">
        <v>275</v>
      </c>
      <c r="B287" s="380"/>
      <c r="C287" s="396"/>
    </row>
    <row r="288" spans="1:7" ht="12.75">
      <c r="A288" s="394" t="s">
        <v>124</v>
      </c>
      <c r="B288" s="380"/>
      <c r="C288" s="405"/>
      <c r="F288" s="76"/>
      <c r="G288" s="76"/>
    </row>
    <row r="289" spans="1:4" ht="12.75">
      <c r="A289" s="394" t="s">
        <v>125</v>
      </c>
      <c r="B289" s="380"/>
      <c r="C289" s="405"/>
      <c r="D289" s="77"/>
    </row>
    <row r="290" spans="1:3" ht="12.75">
      <c r="A290" s="394" t="s">
        <v>119</v>
      </c>
      <c r="B290" s="380"/>
      <c r="C290" s="342"/>
    </row>
    <row r="291" spans="1:3" ht="12.75">
      <c r="A291" s="394" t="s">
        <v>117</v>
      </c>
      <c r="B291" s="380"/>
      <c r="C291" s="406"/>
    </row>
    <row r="292" spans="1:3" ht="12.75">
      <c r="A292" s="399" t="s">
        <v>276</v>
      </c>
      <c r="B292" s="386"/>
      <c r="C292" s="407"/>
    </row>
    <row r="302" spans="1:2" ht="12.75">
      <c r="A302" s="13" t="s">
        <v>278</v>
      </c>
      <c r="B302" s="13" t="s">
        <v>279</v>
      </c>
    </row>
    <row r="303" spans="1:6" ht="12.75">
      <c r="A303" s="39" t="s">
        <v>128</v>
      </c>
      <c r="B303" s="408" t="s">
        <v>130</v>
      </c>
      <c r="C303" s="409"/>
      <c r="D303" s="410"/>
      <c r="E303" s="658" t="s">
        <v>127</v>
      </c>
      <c r="F303" s="659"/>
    </row>
    <row r="304" spans="1:6" ht="13.5" thickBot="1">
      <c r="A304" s="34" t="s">
        <v>129</v>
      </c>
      <c r="B304" s="40" t="s">
        <v>104</v>
      </c>
      <c r="C304" s="40" t="s">
        <v>103</v>
      </c>
      <c r="D304" s="19" t="s">
        <v>131</v>
      </c>
      <c r="E304" s="118" t="s">
        <v>34</v>
      </c>
      <c r="F304" s="106" t="s">
        <v>35</v>
      </c>
    </row>
    <row r="305" spans="1:6" ht="13.5" thickTop="1">
      <c r="A305" s="60">
        <v>1</v>
      </c>
      <c r="B305" s="33"/>
      <c r="C305" s="33"/>
      <c r="D305" s="151"/>
      <c r="E305" s="99"/>
      <c r="F305" s="17"/>
    </row>
    <row r="306" spans="1:6" ht="12.75">
      <c r="A306" s="60">
        <v>2</v>
      </c>
      <c r="B306" s="4"/>
      <c r="C306" s="4"/>
      <c r="D306" s="151"/>
      <c r="E306" s="99"/>
      <c r="F306" s="17"/>
    </row>
    <row r="307" spans="1:6" ht="12.75">
      <c r="A307" s="60">
        <v>3</v>
      </c>
      <c r="B307" s="4"/>
      <c r="C307" s="4"/>
      <c r="D307" s="151"/>
      <c r="E307" s="99"/>
      <c r="F307" s="17"/>
    </row>
    <row r="308" spans="1:6" ht="13.5" thickBot="1">
      <c r="A308" s="280">
        <v>4</v>
      </c>
      <c r="B308" s="55"/>
      <c r="C308" s="55"/>
      <c r="D308" s="412"/>
      <c r="E308" s="413"/>
      <c r="F308" s="37"/>
    </row>
    <row r="309" spans="1:6" ht="12.75">
      <c r="A309" s="94" t="s">
        <v>101</v>
      </c>
      <c r="B309" s="120"/>
      <c r="C309" s="120"/>
      <c r="D309" s="411"/>
      <c r="E309" s="116"/>
      <c r="F309" s="119"/>
    </row>
    <row r="310" spans="1:5" ht="12.75">
      <c r="A310" s="95"/>
      <c r="C310" s="121"/>
      <c r="E310" s="18"/>
    </row>
    <row r="311" spans="1:6" ht="12.75">
      <c r="A311" s="39" t="s">
        <v>128</v>
      </c>
      <c r="B311" s="658" t="s">
        <v>132</v>
      </c>
      <c r="C311" s="660"/>
      <c r="D311" s="659"/>
      <c r="E311" s="658" t="s">
        <v>127</v>
      </c>
      <c r="F311" s="659"/>
    </row>
    <row r="312" spans="1:6" ht="13.5" thickBot="1">
      <c r="A312" s="34" t="s">
        <v>129</v>
      </c>
      <c r="B312" s="106" t="s">
        <v>104</v>
      </c>
      <c r="C312" s="118" t="s">
        <v>103</v>
      </c>
      <c r="D312" s="414" t="s">
        <v>131</v>
      </c>
      <c r="E312" s="118" t="s">
        <v>34</v>
      </c>
      <c r="F312" s="106" t="s">
        <v>35</v>
      </c>
    </row>
    <row r="313" spans="1:6" ht="13.5" thickTop="1">
      <c r="A313" s="60">
        <v>1</v>
      </c>
      <c r="B313" s="84"/>
      <c r="C313" s="98"/>
      <c r="D313" s="84"/>
      <c r="E313" s="99"/>
      <c r="F313" s="17"/>
    </row>
    <row r="314" spans="1:6" ht="12.75">
      <c r="A314" s="60">
        <v>2</v>
      </c>
      <c r="B314" s="84"/>
      <c r="C314" s="98"/>
      <c r="D314" s="84"/>
      <c r="E314" s="99"/>
      <c r="F314" s="17"/>
    </row>
    <row r="315" spans="1:6" ht="12.75">
      <c r="A315" s="60">
        <v>3</v>
      </c>
      <c r="B315" s="84"/>
      <c r="C315" s="98"/>
      <c r="D315" s="84"/>
      <c r="E315" s="99"/>
      <c r="F315" s="17"/>
    </row>
    <row r="316" spans="1:6" ht="13.5" thickBot="1">
      <c r="A316" s="280">
        <v>4</v>
      </c>
      <c r="B316" s="343"/>
      <c r="C316" s="415"/>
      <c r="D316" s="343"/>
      <c r="E316" s="413"/>
      <c r="F316" s="37"/>
    </row>
    <row r="317" spans="1:6" ht="12.75">
      <c r="A317" s="94" t="s">
        <v>101</v>
      </c>
      <c r="B317" s="41"/>
      <c r="C317" s="41"/>
      <c r="D317" s="41"/>
      <c r="E317" s="117"/>
      <c r="F317" s="119"/>
    </row>
    <row r="320" spans="1:4" ht="13.5" thickBot="1">
      <c r="A320" s="416" t="s">
        <v>280</v>
      </c>
      <c r="B320" s="417"/>
      <c r="C320" s="417"/>
      <c r="D320" s="418"/>
    </row>
    <row r="321" spans="1:4" ht="12.75">
      <c r="A321" s="371" t="s">
        <v>281</v>
      </c>
      <c r="B321" s="15"/>
      <c r="C321" s="15"/>
      <c r="D321" s="33"/>
    </row>
    <row r="322" spans="1:4" ht="12.75">
      <c r="A322" s="371" t="s">
        <v>282</v>
      </c>
      <c r="B322" s="15"/>
      <c r="C322" s="15"/>
      <c r="D322" s="4"/>
    </row>
    <row r="323" spans="1:4" ht="12.75">
      <c r="A323" s="369" t="s">
        <v>280</v>
      </c>
      <c r="B323" s="43"/>
      <c r="C323" s="43"/>
      <c r="D323" s="7"/>
    </row>
    <row r="327" ht="12.75">
      <c r="A327" s="200" t="s">
        <v>133</v>
      </c>
    </row>
    <row r="328" spans="1:4" ht="12.75">
      <c r="A328" s="419" t="s">
        <v>128</v>
      </c>
      <c r="B328" s="661" t="s">
        <v>49</v>
      </c>
      <c r="C328" s="662"/>
      <c r="D328" s="420" t="s">
        <v>134</v>
      </c>
    </row>
    <row r="329" spans="1:4" ht="13.5" thickBot="1">
      <c r="A329" s="421" t="s">
        <v>129</v>
      </c>
      <c r="B329" s="375" t="s">
        <v>50</v>
      </c>
      <c r="C329" s="422" t="s">
        <v>77</v>
      </c>
      <c r="D329" s="423" t="s">
        <v>135</v>
      </c>
    </row>
    <row r="330" spans="1:4" ht="13.5" thickTop="1">
      <c r="A330" s="424">
        <v>1</v>
      </c>
      <c r="B330" s="425"/>
      <c r="C330" s="380"/>
      <c r="D330" s="400"/>
    </row>
    <row r="331" spans="1:4" ht="12.75">
      <c r="A331" s="424">
        <v>2</v>
      </c>
      <c r="B331" s="425"/>
      <c r="C331" s="380"/>
      <c r="D331" s="400"/>
    </row>
    <row r="332" spans="1:4" ht="12.75">
      <c r="A332" s="424">
        <v>3</v>
      </c>
      <c r="B332" s="425"/>
      <c r="C332" s="380"/>
      <c r="D332" s="400"/>
    </row>
    <row r="333" spans="1:4" ht="13.5" thickBot="1">
      <c r="A333" s="426">
        <v>4</v>
      </c>
      <c r="B333" s="427"/>
      <c r="C333" s="428"/>
      <c r="D333" s="400"/>
    </row>
    <row r="334" spans="1:4" ht="12.75">
      <c r="A334" s="382" t="s">
        <v>101</v>
      </c>
      <c r="B334" s="430"/>
      <c r="C334" s="431"/>
      <c r="D334" s="432"/>
    </row>
    <row r="335" spans="1:4" ht="12.75">
      <c r="A335" s="433"/>
      <c r="B335" s="434" t="s">
        <v>137</v>
      </c>
      <c r="C335" s="434"/>
      <c r="D335" s="435"/>
    </row>
    <row r="338" ht="12.75">
      <c r="A338" s="443" t="s">
        <v>284</v>
      </c>
    </row>
    <row r="339" spans="1:4" ht="12.75">
      <c r="A339" s="437"/>
      <c r="B339" s="662" t="s">
        <v>49</v>
      </c>
      <c r="C339" s="662"/>
      <c r="D339" s="420" t="s">
        <v>134</v>
      </c>
    </row>
    <row r="340" spans="1:4" ht="13.5" thickBot="1">
      <c r="A340" s="438" t="s">
        <v>172</v>
      </c>
      <c r="B340" s="376" t="s">
        <v>50</v>
      </c>
      <c r="C340" s="374" t="s">
        <v>77</v>
      </c>
      <c r="D340" s="423" t="s">
        <v>135</v>
      </c>
    </row>
    <row r="341" spans="1:6" ht="13.5" thickTop="1">
      <c r="A341" s="439" t="s">
        <v>138</v>
      </c>
      <c r="B341" s="440"/>
      <c r="C341" s="441"/>
      <c r="D341" s="400"/>
      <c r="F341" s="113"/>
    </row>
    <row r="342" spans="1:4" ht="13.5" thickBot="1">
      <c r="A342" s="444" t="s">
        <v>139</v>
      </c>
      <c r="B342" s="445"/>
      <c r="C342" s="446"/>
      <c r="D342" s="429"/>
    </row>
    <row r="343" spans="1:4" ht="12.75">
      <c r="A343" s="382"/>
      <c r="B343" s="442" t="s">
        <v>283</v>
      </c>
      <c r="C343" s="380"/>
      <c r="D343" s="400"/>
    </row>
    <row r="344" spans="1:6" ht="12.75">
      <c r="A344" s="433"/>
      <c r="B344" s="434" t="s">
        <v>136</v>
      </c>
      <c r="C344" s="386"/>
      <c r="D344" s="435"/>
      <c r="F344" s="402"/>
    </row>
    <row r="347" spans="1:4" ht="12.75">
      <c r="A347" s="419" t="s">
        <v>128</v>
      </c>
      <c r="B347" s="661" t="s">
        <v>49</v>
      </c>
      <c r="C347" s="662"/>
      <c r="D347" s="420" t="s">
        <v>134</v>
      </c>
    </row>
    <row r="348" spans="1:4" ht="13.5" thickBot="1">
      <c r="A348" s="421" t="s">
        <v>129</v>
      </c>
      <c r="B348" s="375" t="s">
        <v>50</v>
      </c>
      <c r="C348" s="422" t="s">
        <v>77</v>
      </c>
      <c r="D348" s="423" t="s">
        <v>135</v>
      </c>
    </row>
    <row r="349" spans="1:4" ht="13.5" thickTop="1">
      <c r="A349" s="439" t="s">
        <v>138</v>
      </c>
      <c r="B349" s="440"/>
      <c r="C349" s="441"/>
      <c r="D349" s="400"/>
    </row>
    <row r="350" spans="1:4" ht="13.5" thickBot="1">
      <c r="A350" s="444" t="s">
        <v>140</v>
      </c>
      <c r="B350" s="445"/>
      <c r="C350" s="446"/>
      <c r="D350" s="429"/>
    </row>
    <row r="351" spans="1:4" ht="12.75">
      <c r="A351" s="382"/>
      <c r="B351" s="442" t="s">
        <v>283</v>
      </c>
      <c r="C351" s="380"/>
      <c r="D351" s="396"/>
    </row>
    <row r="352" spans="1:4" ht="12.75">
      <c r="A352" s="433"/>
      <c r="B352" s="434" t="s">
        <v>136</v>
      </c>
      <c r="C352" s="386"/>
      <c r="D352" s="341"/>
    </row>
    <row r="355" spans="1:4" ht="12.75">
      <c r="A355" s="419" t="s">
        <v>128</v>
      </c>
      <c r="B355" s="661" t="s">
        <v>49</v>
      </c>
      <c r="C355" s="662"/>
      <c r="D355" s="420" t="s">
        <v>134</v>
      </c>
    </row>
    <row r="356" spans="1:4" ht="13.5" thickBot="1">
      <c r="A356" s="421" t="s">
        <v>129</v>
      </c>
      <c r="B356" s="375" t="s">
        <v>50</v>
      </c>
      <c r="C356" s="422" t="s">
        <v>77</v>
      </c>
      <c r="D356" s="423" t="s">
        <v>135</v>
      </c>
    </row>
    <row r="357" spans="1:4" ht="13.5" thickTop="1">
      <c r="A357" s="439" t="s">
        <v>138</v>
      </c>
      <c r="B357" s="440"/>
      <c r="C357" s="441"/>
      <c r="D357" s="400"/>
    </row>
    <row r="358" spans="1:4" ht="13.5" thickBot="1">
      <c r="A358" s="444" t="s">
        <v>141</v>
      </c>
      <c r="B358" s="445"/>
      <c r="C358" s="446"/>
      <c r="D358" s="429"/>
    </row>
    <row r="359" spans="1:4" ht="12.75">
      <c r="A359" s="382"/>
      <c r="B359" s="442" t="s">
        <v>283</v>
      </c>
      <c r="C359" s="380"/>
      <c r="D359" s="396"/>
    </row>
    <row r="360" spans="1:4" ht="12.75">
      <c r="A360" s="433"/>
      <c r="B360" s="434" t="s">
        <v>136</v>
      </c>
      <c r="C360" s="386"/>
      <c r="D360" s="341"/>
    </row>
    <row r="363" spans="1:4" ht="12.75">
      <c r="A363" s="419" t="s">
        <v>128</v>
      </c>
      <c r="B363" s="661" t="s">
        <v>49</v>
      </c>
      <c r="C363" s="662"/>
      <c r="D363" s="420" t="s">
        <v>134</v>
      </c>
    </row>
    <row r="364" spans="1:4" ht="13.5" thickBot="1">
      <c r="A364" s="421" t="s">
        <v>129</v>
      </c>
      <c r="B364" s="375" t="s">
        <v>50</v>
      </c>
      <c r="C364" s="422" t="s">
        <v>77</v>
      </c>
      <c r="D364" s="423" t="s">
        <v>135</v>
      </c>
    </row>
    <row r="365" spans="1:4" ht="13.5" thickTop="1">
      <c r="A365" s="439" t="s">
        <v>138</v>
      </c>
      <c r="B365" s="440"/>
      <c r="C365" s="441"/>
      <c r="D365" s="400"/>
    </row>
    <row r="366" spans="1:4" ht="13.5" thickBot="1">
      <c r="A366" s="444" t="s">
        <v>141</v>
      </c>
      <c r="B366" s="445"/>
      <c r="C366" s="446"/>
      <c r="D366" s="429"/>
    </row>
    <row r="367" spans="1:4" ht="12.75">
      <c r="A367" s="382"/>
      <c r="B367" s="442" t="s">
        <v>283</v>
      </c>
      <c r="C367" s="380"/>
      <c r="D367" s="396"/>
    </row>
    <row r="368" spans="1:4" ht="12.75">
      <c r="A368" s="433"/>
      <c r="B368" s="434" t="s">
        <v>136</v>
      </c>
      <c r="C368" s="386"/>
      <c r="D368" s="341"/>
    </row>
    <row r="371" ht="12.75">
      <c r="A371" s="200" t="s">
        <v>255</v>
      </c>
    </row>
    <row r="372" spans="1:8" ht="12.75">
      <c r="A372" s="200" t="s">
        <v>143</v>
      </c>
      <c r="C372" s="31"/>
      <c r="E372" s="18"/>
      <c r="H372" s="31"/>
    </row>
    <row r="373" spans="1:8" ht="12.75">
      <c r="A373" s="448"/>
      <c r="B373" s="449"/>
      <c r="C373" s="449"/>
      <c r="D373" s="449"/>
      <c r="E373" s="449"/>
      <c r="F373" s="449"/>
      <c r="G373" s="449"/>
      <c r="H373" s="449"/>
    </row>
    <row r="374" spans="1:8" ht="12.75">
      <c r="A374" s="448"/>
      <c r="B374" s="449"/>
      <c r="C374" s="449"/>
      <c r="D374" s="449"/>
      <c r="E374" s="449"/>
      <c r="F374" s="449"/>
      <c r="G374" s="449"/>
      <c r="H374" s="449"/>
    </row>
    <row r="375" spans="1:8" ht="13.5" thickBot="1">
      <c r="A375" s="448"/>
      <c r="B375" s="449"/>
      <c r="C375" s="449"/>
      <c r="D375" s="449"/>
      <c r="E375" s="449"/>
      <c r="F375" s="449"/>
      <c r="G375" s="449"/>
      <c r="H375" s="449"/>
    </row>
    <row r="376" spans="1:8" ht="12.75">
      <c r="A376" s="450"/>
      <c r="B376" s="451"/>
      <c r="C376" s="451"/>
      <c r="D376" s="451"/>
      <c r="E376" s="451"/>
      <c r="F376" s="449"/>
      <c r="G376" s="449"/>
      <c r="H376" s="449"/>
    </row>
    <row r="377" spans="1:8" ht="12.75">
      <c r="A377" s="452"/>
      <c r="B377" s="453"/>
      <c r="C377" s="453"/>
      <c r="D377" s="454"/>
      <c r="E377" s="454"/>
      <c r="F377" s="449"/>
      <c r="G377" s="449"/>
      <c r="H377" s="449"/>
    </row>
    <row r="378" spans="1:8" ht="12.75">
      <c r="A378" s="452"/>
      <c r="B378" s="453"/>
      <c r="C378" s="453"/>
      <c r="D378" s="454"/>
      <c r="E378" s="454"/>
      <c r="F378" s="449"/>
      <c r="G378" s="449"/>
      <c r="H378" s="449"/>
    </row>
    <row r="379" spans="1:8" ht="12.75">
      <c r="A379" s="452"/>
      <c r="B379" s="453"/>
      <c r="C379" s="453"/>
      <c r="D379" s="454"/>
      <c r="E379" s="454"/>
      <c r="F379" s="449"/>
      <c r="G379" s="449"/>
      <c r="H379" s="449"/>
    </row>
    <row r="380" spans="1:8" ht="13.5" thickBot="1">
      <c r="A380" s="455"/>
      <c r="B380" s="456"/>
      <c r="C380" s="456"/>
      <c r="D380" s="457"/>
      <c r="E380" s="457"/>
      <c r="F380" s="449"/>
      <c r="G380" s="449"/>
      <c r="H380" s="449"/>
    </row>
    <row r="381" spans="1:8" ht="12.75">
      <c r="A381" s="448"/>
      <c r="B381" s="449"/>
      <c r="C381" s="449"/>
      <c r="D381" s="449"/>
      <c r="E381" s="449"/>
      <c r="F381" s="449"/>
      <c r="G381" s="449"/>
      <c r="H381" s="449"/>
    </row>
    <row r="382" spans="1:8" ht="12.75">
      <c r="A382" s="448"/>
      <c r="B382" s="449"/>
      <c r="C382" s="449"/>
      <c r="D382" s="449"/>
      <c r="E382" s="449"/>
      <c r="F382" s="449"/>
      <c r="G382" s="449"/>
      <c r="H382" s="449"/>
    </row>
    <row r="383" spans="1:8" ht="12.75">
      <c r="A383" s="448"/>
      <c r="B383" s="449"/>
      <c r="C383" s="449"/>
      <c r="D383" s="449"/>
      <c r="E383" s="449"/>
      <c r="F383" s="449"/>
      <c r="G383" s="449"/>
      <c r="H383" s="449"/>
    </row>
    <row r="384" spans="1:8" ht="12.75">
      <c r="A384" s="458"/>
      <c r="B384" s="458"/>
      <c r="C384" s="458"/>
      <c r="D384" s="458"/>
      <c r="E384" s="458"/>
      <c r="F384" s="458"/>
      <c r="G384" s="663"/>
      <c r="H384" s="663"/>
    </row>
    <row r="385" spans="1:8" ht="13.5" thickBot="1">
      <c r="A385" s="459"/>
      <c r="B385" s="459"/>
      <c r="C385" s="459"/>
      <c r="D385" s="459"/>
      <c r="E385" s="459"/>
      <c r="F385" s="459"/>
      <c r="G385" s="459"/>
      <c r="H385" s="460"/>
    </row>
    <row r="386" spans="1:8" ht="13.5" thickTop="1">
      <c r="A386" s="452"/>
      <c r="B386" s="461"/>
      <c r="C386" s="453"/>
      <c r="D386" s="461"/>
      <c r="E386" s="461"/>
      <c r="F386" s="461"/>
      <c r="G386" s="461"/>
      <c r="H386" s="462"/>
    </row>
    <row r="387" spans="1:8" ht="12.75">
      <c r="A387" s="452"/>
      <c r="B387" s="461"/>
      <c r="C387" s="453"/>
      <c r="D387" s="461"/>
      <c r="E387" s="453"/>
      <c r="F387" s="453"/>
      <c r="G387" s="453"/>
      <c r="H387" s="449"/>
    </row>
    <row r="388" spans="1:8" ht="12.75">
      <c r="A388" s="452"/>
      <c r="B388" s="461"/>
      <c r="C388" s="453"/>
      <c r="D388" s="453"/>
      <c r="E388" s="453"/>
      <c r="F388" s="453"/>
      <c r="G388" s="453"/>
      <c r="H388" s="449"/>
    </row>
    <row r="389" spans="1:8" ht="13.5" thickBot="1">
      <c r="A389" s="455"/>
      <c r="B389" s="463"/>
      <c r="C389" s="456"/>
      <c r="D389" s="456"/>
      <c r="E389" s="456"/>
      <c r="F389" s="456"/>
      <c r="G389" s="456"/>
      <c r="H389" s="464"/>
    </row>
    <row r="393" spans="1:5" ht="12.75">
      <c r="A393" s="200" t="s">
        <v>161</v>
      </c>
      <c r="E393" s="18"/>
    </row>
    <row r="394" spans="1:8" ht="12.75">
      <c r="A394" s="602"/>
      <c r="B394" s="503"/>
      <c r="C394" s="503"/>
      <c r="D394" s="503"/>
      <c r="E394" s="503"/>
      <c r="F394" s="503"/>
      <c r="G394" s="503"/>
      <c r="H394" s="503"/>
    </row>
    <row r="395" spans="1:8" ht="12.75">
      <c r="A395" s="602"/>
      <c r="B395" s="503"/>
      <c r="C395" s="503"/>
      <c r="D395" s="503"/>
      <c r="E395" s="503"/>
      <c r="F395" s="503"/>
      <c r="G395" s="503"/>
      <c r="H395" s="503"/>
    </row>
    <row r="396" spans="1:8" ht="13.5" thickBot="1">
      <c r="A396" s="602"/>
      <c r="B396" s="503"/>
      <c r="C396" s="503"/>
      <c r="D396" s="503"/>
      <c r="E396" s="503"/>
      <c r="F396" s="503"/>
      <c r="G396" s="503"/>
      <c r="H396" s="503"/>
    </row>
    <row r="397" spans="1:8" ht="12.75">
      <c r="A397" s="517"/>
      <c r="B397" s="603"/>
      <c r="C397" s="603"/>
      <c r="D397" s="603"/>
      <c r="E397" s="603"/>
      <c r="F397" s="503"/>
      <c r="G397" s="503"/>
      <c r="H397" s="503"/>
    </row>
    <row r="398" spans="1:8" ht="12.75">
      <c r="A398" s="506"/>
      <c r="B398" s="513"/>
      <c r="C398" s="507"/>
      <c r="D398" s="507"/>
      <c r="E398" s="507"/>
      <c r="F398" s="503"/>
      <c r="G398" s="503"/>
      <c r="H398" s="503"/>
    </row>
    <row r="399" spans="1:8" ht="12.75">
      <c r="A399" s="506"/>
      <c r="B399" s="513"/>
      <c r="C399" s="507"/>
      <c r="D399" s="507"/>
      <c r="E399" s="507"/>
      <c r="F399" s="503"/>
      <c r="G399" s="503"/>
      <c r="H399" s="503"/>
    </row>
    <row r="400" spans="1:8" ht="12.75">
      <c r="A400" s="506"/>
      <c r="B400" s="513"/>
      <c r="C400" s="507"/>
      <c r="D400" s="507"/>
      <c r="E400" s="507"/>
      <c r="F400" s="503"/>
      <c r="G400" s="503"/>
      <c r="H400" s="503"/>
    </row>
    <row r="401" spans="1:8" ht="13.5" thickBot="1">
      <c r="A401" s="508"/>
      <c r="B401" s="509"/>
      <c r="C401" s="515"/>
      <c r="D401" s="515"/>
      <c r="E401" s="515"/>
      <c r="F401" s="503"/>
      <c r="G401" s="503"/>
      <c r="H401" s="503"/>
    </row>
    <row r="402" spans="1:8" ht="12.75">
      <c r="A402" s="602"/>
      <c r="B402" s="503"/>
      <c r="C402" s="503"/>
      <c r="D402" s="503"/>
      <c r="E402" s="503"/>
      <c r="F402" s="503"/>
      <c r="G402" s="503"/>
      <c r="H402" s="503"/>
    </row>
    <row r="403" spans="1:8" ht="12.75">
      <c r="A403" s="602"/>
      <c r="B403" s="503"/>
      <c r="C403" s="503"/>
      <c r="D403" s="503"/>
      <c r="E403" s="503"/>
      <c r="F403" s="503"/>
      <c r="G403" s="503"/>
      <c r="H403" s="503"/>
    </row>
    <row r="404" spans="1:8" ht="12.75">
      <c r="A404" s="602"/>
      <c r="B404" s="503"/>
      <c r="C404" s="503"/>
      <c r="D404" s="503"/>
      <c r="E404" s="503"/>
      <c r="F404" s="503"/>
      <c r="G404" s="503"/>
      <c r="H404" s="503"/>
    </row>
    <row r="405" spans="1:8" ht="12.75">
      <c r="A405" s="604"/>
      <c r="B405" s="604"/>
      <c r="C405" s="604"/>
      <c r="D405" s="604"/>
      <c r="E405" s="604"/>
      <c r="F405" s="604"/>
      <c r="G405" s="664"/>
      <c r="H405" s="664"/>
    </row>
    <row r="406" spans="1:8" ht="13.5" thickBot="1">
      <c r="A406" s="605"/>
      <c r="B406" s="605"/>
      <c r="C406" s="605"/>
      <c r="D406" s="605"/>
      <c r="E406" s="605"/>
      <c r="F406" s="605"/>
      <c r="G406" s="605"/>
      <c r="H406" s="606"/>
    </row>
    <row r="407" spans="1:8" ht="13.5" thickTop="1">
      <c r="A407" s="607"/>
      <c r="B407" s="507"/>
      <c r="C407" s="513"/>
      <c r="D407" s="507"/>
      <c r="E407" s="507"/>
      <c r="F407" s="608"/>
      <c r="G407" s="507"/>
      <c r="H407" s="514"/>
    </row>
    <row r="408" spans="1:8" ht="12.75">
      <c r="A408" s="607"/>
      <c r="B408" s="507"/>
      <c r="C408" s="513"/>
      <c r="D408" s="507"/>
      <c r="E408" s="507"/>
      <c r="F408" s="507"/>
      <c r="G408" s="507"/>
      <c r="H408" s="503"/>
    </row>
    <row r="409" spans="1:8" ht="12.75">
      <c r="A409" s="607"/>
      <c r="B409" s="507"/>
      <c r="C409" s="513"/>
      <c r="D409" s="513"/>
      <c r="E409" s="513"/>
      <c r="F409" s="513"/>
      <c r="G409" s="513"/>
      <c r="H409" s="503"/>
    </row>
    <row r="410" spans="1:8" ht="13.5" thickBot="1">
      <c r="A410" s="609"/>
      <c r="B410" s="515"/>
      <c r="C410" s="509"/>
      <c r="D410" s="509"/>
      <c r="E410" s="509"/>
      <c r="F410" s="509"/>
      <c r="G410" s="509"/>
      <c r="H410" s="516"/>
    </row>
    <row r="411" spans="1:5" ht="12.75">
      <c r="A411" s="95"/>
      <c r="E411" s="18"/>
    </row>
    <row r="412" spans="1:5" ht="12.75">
      <c r="A412" s="95"/>
      <c r="E412" s="18"/>
    </row>
    <row r="413" spans="1:11" ht="12.75">
      <c r="A413" s="346"/>
      <c r="B413" s="657" t="s">
        <v>127</v>
      </c>
      <c r="C413" s="656"/>
      <c r="D413" s="360"/>
      <c r="E413" s="655" t="s">
        <v>173</v>
      </c>
      <c r="F413" s="656"/>
      <c r="G413" s="346" t="s">
        <v>36</v>
      </c>
      <c r="H413" s="360" t="s">
        <v>136</v>
      </c>
      <c r="I413" s="655" t="s">
        <v>175</v>
      </c>
      <c r="J413" s="656"/>
      <c r="K413" s="346" t="s">
        <v>174</v>
      </c>
    </row>
    <row r="414" spans="1:11" ht="13.5" thickBot="1">
      <c r="A414" s="351" t="s">
        <v>172</v>
      </c>
      <c r="B414" s="350">
        <v>1</v>
      </c>
      <c r="C414" s="349">
        <v>2</v>
      </c>
      <c r="D414" s="350" t="s">
        <v>163</v>
      </c>
      <c r="E414" s="349" t="s">
        <v>164</v>
      </c>
      <c r="F414" s="350" t="s">
        <v>165</v>
      </c>
      <c r="G414" s="351" t="s">
        <v>166</v>
      </c>
      <c r="H414" s="350" t="s">
        <v>166</v>
      </c>
      <c r="I414" s="349">
        <v>0.05</v>
      </c>
      <c r="J414" s="350">
        <v>0.01</v>
      </c>
      <c r="K414" s="351"/>
    </row>
    <row r="415" spans="1:11" ht="13.5" thickTop="1">
      <c r="A415" s="436" t="s">
        <v>162</v>
      </c>
      <c r="B415" s="132"/>
      <c r="C415" s="133"/>
      <c r="D415" s="132"/>
      <c r="E415" s="130"/>
      <c r="F415" s="134"/>
      <c r="G415" s="54"/>
      <c r="H415" s="132"/>
      <c r="I415" s="54"/>
      <c r="J415" s="135"/>
      <c r="K415" s="136"/>
    </row>
    <row r="416" spans="1:11" ht="12.75">
      <c r="A416" s="436" t="s">
        <v>168</v>
      </c>
      <c r="B416" s="132"/>
      <c r="C416" s="133"/>
      <c r="D416" s="132"/>
      <c r="E416" s="130"/>
      <c r="F416" s="134"/>
      <c r="G416" s="54"/>
      <c r="H416" s="132"/>
      <c r="I416" s="54"/>
      <c r="J416" s="135"/>
      <c r="K416" s="136"/>
    </row>
    <row r="417" spans="1:11" ht="12.75">
      <c r="A417" s="436" t="s">
        <v>167</v>
      </c>
      <c r="B417" s="132"/>
      <c r="C417" s="133"/>
      <c r="D417" s="132"/>
      <c r="E417" s="130"/>
      <c r="F417" s="134"/>
      <c r="G417" s="54"/>
      <c r="H417" s="132"/>
      <c r="I417" s="54"/>
      <c r="J417" s="135"/>
      <c r="K417" s="136"/>
    </row>
    <row r="418" spans="1:11" ht="12.75">
      <c r="A418" s="436" t="s">
        <v>169</v>
      </c>
      <c r="B418" s="132"/>
      <c r="C418" s="133"/>
      <c r="D418" s="132"/>
      <c r="E418" s="130"/>
      <c r="F418" s="134"/>
      <c r="G418" s="54"/>
      <c r="H418" s="132"/>
      <c r="I418" s="54"/>
      <c r="J418" s="135"/>
      <c r="K418" s="136"/>
    </row>
    <row r="419" spans="1:11" ht="12.75">
      <c r="A419" s="436" t="s">
        <v>170</v>
      </c>
      <c r="B419" s="132"/>
      <c r="C419" s="133"/>
      <c r="D419" s="132"/>
      <c r="E419" s="130"/>
      <c r="F419" s="134"/>
      <c r="G419" s="54"/>
      <c r="H419" s="132"/>
      <c r="I419" s="54"/>
      <c r="J419" s="135"/>
      <c r="K419" s="136"/>
    </row>
    <row r="420" spans="1:11" ht="12.75">
      <c r="A420" s="465" t="s">
        <v>171</v>
      </c>
      <c r="B420" s="138"/>
      <c r="C420" s="139"/>
      <c r="D420" s="138"/>
      <c r="E420" s="137"/>
      <c r="F420" s="140"/>
      <c r="G420" s="141"/>
      <c r="H420" s="138"/>
      <c r="I420" s="141"/>
      <c r="J420" s="142"/>
      <c r="K420" s="143"/>
    </row>
    <row r="424" spans="1:5" ht="12.75">
      <c r="A424" s="200" t="s">
        <v>256</v>
      </c>
      <c r="E424" s="18"/>
    </row>
    <row r="425" spans="1:6" ht="12.75">
      <c r="A425" s="466" t="s">
        <v>128</v>
      </c>
      <c r="B425" s="467" t="s">
        <v>179</v>
      </c>
      <c r="C425" s="665" t="s">
        <v>8</v>
      </c>
      <c r="D425" s="666"/>
      <c r="E425" s="666"/>
      <c r="F425" s="468" t="s">
        <v>32</v>
      </c>
    </row>
    <row r="426" spans="1:6" ht="13.5" thickBot="1">
      <c r="A426" s="469" t="s">
        <v>129</v>
      </c>
      <c r="B426" s="470" t="s">
        <v>180</v>
      </c>
      <c r="C426" s="471" t="s">
        <v>181</v>
      </c>
      <c r="D426" s="471" t="s">
        <v>182</v>
      </c>
      <c r="E426" s="472" t="s">
        <v>184</v>
      </c>
      <c r="F426" s="473" t="s">
        <v>193</v>
      </c>
    </row>
    <row r="427" spans="1:6" ht="13.5" thickTop="1">
      <c r="A427" s="474" t="s">
        <v>183</v>
      </c>
      <c r="B427" s="442" t="s">
        <v>181</v>
      </c>
      <c r="C427" s="475"/>
      <c r="D427" s="475"/>
      <c r="E427" s="476"/>
      <c r="F427" s="477"/>
    </row>
    <row r="428" spans="1:6" ht="12.75">
      <c r="A428" s="474"/>
      <c r="B428" s="442" t="s">
        <v>182</v>
      </c>
      <c r="C428" s="475"/>
      <c r="D428" s="475"/>
      <c r="E428" s="476"/>
      <c r="F428" s="477"/>
    </row>
    <row r="429" spans="1:6" ht="12.75">
      <c r="A429" s="478"/>
      <c r="B429" s="434" t="s">
        <v>184</v>
      </c>
      <c r="C429" s="479"/>
      <c r="D429" s="479"/>
      <c r="E429" s="480"/>
      <c r="F429" s="481"/>
    </row>
    <row r="430" spans="1:6" ht="12.75">
      <c r="A430" s="482" t="s">
        <v>188</v>
      </c>
      <c r="B430" s="483"/>
      <c r="C430" s="484"/>
      <c r="D430" s="484"/>
      <c r="E430" s="485"/>
      <c r="F430" s="484"/>
    </row>
    <row r="431" spans="1:6" ht="12.75">
      <c r="A431" s="474" t="s">
        <v>185</v>
      </c>
      <c r="B431" s="442" t="s">
        <v>181</v>
      </c>
      <c r="C431" s="475"/>
      <c r="D431" s="475"/>
      <c r="E431" s="476"/>
      <c r="F431" s="477"/>
    </row>
    <row r="432" spans="1:6" ht="12.75">
      <c r="A432" s="474"/>
      <c r="B432" s="442" t="s">
        <v>182</v>
      </c>
      <c r="C432" s="475"/>
      <c r="D432" s="475"/>
      <c r="E432" s="476"/>
      <c r="F432" s="477"/>
    </row>
    <row r="433" spans="1:6" ht="12.75">
      <c r="A433" s="382"/>
      <c r="B433" s="442" t="s">
        <v>184</v>
      </c>
      <c r="C433" s="475"/>
      <c r="D433" s="475"/>
      <c r="E433" s="476"/>
      <c r="F433" s="477"/>
    </row>
    <row r="434" spans="1:6" ht="12.75">
      <c r="A434" s="482" t="s">
        <v>189</v>
      </c>
      <c r="B434" s="483"/>
      <c r="C434" s="484"/>
      <c r="D434" s="484"/>
      <c r="E434" s="485"/>
      <c r="F434" s="484"/>
    </row>
    <row r="435" spans="1:6" ht="12.75">
      <c r="A435" s="474" t="s">
        <v>186</v>
      </c>
      <c r="B435" s="442" t="s">
        <v>181</v>
      </c>
      <c r="C435" s="475"/>
      <c r="D435" s="475"/>
      <c r="E435" s="476"/>
      <c r="F435" s="477"/>
    </row>
    <row r="436" spans="1:6" ht="12.75">
      <c r="A436" s="474"/>
      <c r="B436" s="442" t="s">
        <v>182</v>
      </c>
      <c r="C436" s="475"/>
      <c r="D436" s="475"/>
      <c r="E436" s="476"/>
      <c r="F436" s="477"/>
    </row>
    <row r="437" spans="1:6" ht="12.75">
      <c r="A437" s="474"/>
      <c r="B437" s="442" t="s">
        <v>184</v>
      </c>
      <c r="C437" s="475"/>
      <c r="D437" s="475"/>
      <c r="E437" s="476"/>
      <c r="F437" s="477"/>
    </row>
    <row r="438" spans="1:6" ht="12.75">
      <c r="A438" s="482" t="s">
        <v>190</v>
      </c>
      <c r="B438" s="483"/>
      <c r="C438" s="484"/>
      <c r="D438" s="484"/>
      <c r="E438" s="485"/>
      <c r="F438" s="484"/>
    </row>
    <row r="439" spans="1:6" ht="12.75">
      <c r="A439" s="474" t="s">
        <v>187</v>
      </c>
      <c r="B439" s="442" t="s">
        <v>181</v>
      </c>
      <c r="C439" s="475"/>
      <c r="D439" s="475"/>
      <c r="E439" s="476"/>
      <c r="F439" s="477"/>
    </row>
    <row r="440" spans="1:6" ht="12.75">
      <c r="A440" s="382"/>
      <c r="B440" s="442" t="s">
        <v>182</v>
      </c>
      <c r="C440" s="486"/>
      <c r="D440" s="486"/>
      <c r="E440" s="487"/>
      <c r="F440" s="477"/>
    </row>
    <row r="441" spans="1:6" ht="12.75">
      <c r="A441" s="382"/>
      <c r="B441" s="442" t="s">
        <v>184</v>
      </c>
      <c r="C441" s="425"/>
      <c r="D441" s="425"/>
      <c r="E441" s="440"/>
      <c r="F441" s="477"/>
    </row>
    <row r="442" spans="1:6" ht="13.5" thickBot="1">
      <c r="A442" s="488" t="s">
        <v>191</v>
      </c>
      <c r="B442" s="489"/>
      <c r="C442" s="490"/>
      <c r="D442" s="490"/>
      <c r="E442" s="491"/>
      <c r="F442" s="490"/>
    </row>
    <row r="443" spans="1:6" ht="12.75">
      <c r="A443" s="478" t="s">
        <v>192</v>
      </c>
      <c r="B443" s="434"/>
      <c r="C443" s="492"/>
      <c r="D443" s="492"/>
      <c r="E443" s="493"/>
      <c r="F443" s="494"/>
    </row>
    <row r="444" spans="1:6" ht="12.75">
      <c r="A444" s="495" t="s">
        <v>194</v>
      </c>
      <c r="B444" s="496"/>
      <c r="C444" s="497"/>
      <c r="D444" s="497"/>
      <c r="E444" s="497"/>
      <c r="F444" s="403"/>
    </row>
    <row r="447" spans="1:5" ht="12.75">
      <c r="A447" s="200" t="s">
        <v>195</v>
      </c>
      <c r="E447" s="18"/>
    </row>
    <row r="448" spans="1:6" ht="12.75">
      <c r="A448" s="148" t="s">
        <v>128</v>
      </c>
      <c r="B448" s="149" t="s">
        <v>179</v>
      </c>
      <c r="C448" s="667" t="s">
        <v>8</v>
      </c>
      <c r="D448" s="668"/>
      <c r="E448" s="668"/>
      <c r="F448" s="158" t="s">
        <v>32</v>
      </c>
    </row>
    <row r="449" spans="1:6" ht="13.5" thickBot="1">
      <c r="A449" s="154" t="s">
        <v>129</v>
      </c>
      <c r="B449" s="155" t="s">
        <v>180</v>
      </c>
      <c r="C449" s="160" t="s">
        <v>181</v>
      </c>
      <c r="D449" s="185" t="s">
        <v>182</v>
      </c>
      <c r="E449" s="160" t="s">
        <v>184</v>
      </c>
      <c r="F449" s="157" t="s">
        <v>193</v>
      </c>
    </row>
    <row r="450" spans="1:6" ht="13.5" thickTop="1">
      <c r="A450" s="150" t="s">
        <v>183</v>
      </c>
      <c r="B450" s="71" t="s">
        <v>181</v>
      </c>
      <c r="C450" s="182"/>
      <c r="D450" s="170"/>
      <c r="E450" s="182"/>
      <c r="F450" s="171"/>
    </row>
    <row r="451" spans="1:6" ht="12.75">
      <c r="A451" s="150"/>
      <c r="B451" s="71" t="s">
        <v>182</v>
      </c>
      <c r="C451" s="182"/>
      <c r="D451" s="170"/>
      <c r="E451" s="182"/>
      <c r="F451" s="171"/>
    </row>
    <row r="452" spans="1:6" ht="12.75">
      <c r="A452" s="150"/>
      <c r="B452" s="71" t="s">
        <v>184</v>
      </c>
      <c r="C452" s="182"/>
      <c r="D452" s="170"/>
      <c r="E452" s="182"/>
      <c r="F452" s="171"/>
    </row>
    <row r="453" spans="1:6" ht="12.75">
      <c r="A453" s="163" t="s">
        <v>188</v>
      </c>
      <c r="B453" s="164"/>
      <c r="C453" s="172"/>
      <c r="D453" s="173"/>
      <c r="E453" s="172"/>
      <c r="F453" s="180"/>
    </row>
    <row r="454" spans="1:6" ht="12.75">
      <c r="A454" s="150" t="s">
        <v>185</v>
      </c>
      <c r="B454" s="71" t="s">
        <v>181</v>
      </c>
      <c r="C454" s="182"/>
      <c r="D454" s="170"/>
      <c r="E454" s="182"/>
      <c r="F454" s="171"/>
    </row>
    <row r="455" spans="1:6" ht="12.75">
      <c r="A455" s="150"/>
      <c r="B455" s="71" t="s">
        <v>182</v>
      </c>
      <c r="C455" s="182"/>
      <c r="D455" s="170"/>
      <c r="E455" s="182"/>
      <c r="F455" s="171"/>
    </row>
    <row r="456" spans="1:6" ht="12.75">
      <c r="A456" s="93"/>
      <c r="B456" s="71" t="s">
        <v>184</v>
      </c>
      <c r="C456" s="182"/>
      <c r="D456" s="170"/>
      <c r="E456" s="182"/>
      <c r="F456" s="171"/>
    </row>
    <row r="457" spans="1:6" ht="12.75">
      <c r="A457" s="163" t="s">
        <v>189</v>
      </c>
      <c r="B457" s="164"/>
      <c r="C457" s="172"/>
      <c r="D457" s="173"/>
      <c r="E457" s="172"/>
      <c r="F457" s="180"/>
    </row>
    <row r="458" spans="1:6" ht="12.75">
      <c r="A458" s="150" t="s">
        <v>186</v>
      </c>
      <c r="B458" s="71" t="s">
        <v>181</v>
      </c>
      <c r="C458" s="182"/>
      <c r="D458" s="170"/>
      <c r="E458" s="182"/>
      <c r="F458" s="171"/>
    </row>
    <row r="459" spans="1:6" ht="12.75">
      <c r="A459" s="150"/>
      <c r="B459" s="71" t="s">
        <v>182</v>
      </c>
      <c r="C459" s="182"/>
      <c r="D459" s="170"/>
      <c r="E459" s="182"/>
      <c r="F459" s="171"/>
    </row>
    <row r="460" spans="1:6" ht="12.75">
      <c r="A460" s="150"/>
      <c r="B460" s="71" t="s">
        <v>184</v>
      </c>
      <c r="C460" s="182"/>
      <c r="D460" s="170"/>
      <c r="E460" s="182"/>
      <c r="F460" s="171"/>
    </row>
    <row r="461" spans="1:6" ht="12.75">
      <c r="A461" s="163" t="s">
        <v>190</v>
      </c>
      <c r="B461" s="164"/>
      <c r="C461" s="172"/>
      <c r="D461" s="173"/>
      <c r="E461" s="172"/>
      <c r="F461" s="180"/>
    </row>
    <row r="462" spans="1:6" ht="12.75">
      <c r="A462" s="150" t="s">
        <v>187</v>
      </c>
      <c r="B462" s="71" t="s">
        <v>181</v>
      </c>
      <c r="C462" s="182"/>
      <c r="D462" s="170"/>
      <c r="E462" s="182"/>
      <c r="F462" s="171"/>
    </row>
    <row r="463" spans="1:6" ht="12.75">
      <c r="A463" s="93"/>
      <c r="B463" s="71" t="s">
        <v>182</v>
      </c>
      <c r="C463" s="182"/>
      <c r="D463" s="170"/>
      <c r="E463" s="182"/>
      <c r="F463" s="171"/>
    </row>
    <row r="464" spans="1:6" ht="12.75">
      <c r="A464" s="93"/>
      <c r="B464" s="71" t="s">
        <v>184</v>
      </c>
      <c r="C464" s="182"/>
      <c r="D464" s="170"/>
      <c r="E464" s="182"/>
      <c r="F464" s="171"/>
    </row>
    <row r="465" spans="1:6" ht="13.5" thickBot="1">
      <c r="A465" s="165" t="s">
        <v>191</v>
      </c>
      <c r="B465" s="166"/>
      <c r="C465" s="174"/>
      <c r="D465" s="175"/>
      <c r="E465" s="174"/>
      <c r="F465" s="181"/>
    </row>
    <row r="466" spans="1:6" ht="12.75">
      <c r="A466" s="152" t="s">
        <v>192</v>
      </c>
      <c r="B466" s="153"/>
      <c r="C466" s="176"/>
      <c r="D466" s="177"/>
      <c r="E466" s="176"/>
      <c r="F466" s="184"/>
    </row>
    <row r="467" spans="1:6" ht="12.75">
      <c r="A467" s="168" t="s">
        <v>196</v>
      </c>
      <c r="B467" s="169"/>
      <c r="C467" s="178"/>
      <c r="D467" s="183"/>
      <c r="E467" s="178"/>
      <c r="F467" s="179"/>
    </row>
    <row r="470" spans="1:5" ht="12.75">
      <c r="A470" s="200" t="s">
        <v>257</v>
      </c>
      <c r="E470" s="18"/>
    </row>
    <row r="471" spans="1:5" ht="12.75">
      <c r="A471" s="200" t="s">
        <v>285</v>
      </c>
      <c r="E471" s="18"/>
    </row>
    <row r="472" spans="1:5" ht="12.75">
      <c r="A472" s="39" t="s">
        <v>128</v>
      </c>
      <c r="B472" s="669" t="s">
        <v>7</v>
      </c>
      <c r="C472" s="653"/>
      <c r="D472" s="653"/>
      <c r="E472" s="59" t="s">
        <v>32</v>
      </c>
    </row>
    <row r="473" spans="1:5" ht="13.5" thickBot="1">
      <c r="A473" s="34" t="s">
        <v>129</v>
      </c>
      <c r="B473" s="38" t="s">
        <v>181</v>
      </c>
      <c r="C473" s="38" t="s">
        <v>182</v>
      </c>
      <c r="D473" s="38" t="s">
        <v>184</v>
      </c>
      <c r="E473" s="35" t="s">
        <v>197</v>
      </c>
    </row>
    <row r="474" spans="1:5" ht="13.5" thickTop="1">
      <c r="A474" s="93" t="s">
        <v>183</v>
      </c>
      <c r="B474" s="131"/>
      <c r="C474" s="131"/>
      <c r="D474" s="131"/>
      <c r="E474" s="131"/>
    </row>
    <row r="475" spans="1:5" ht="12.75">
      <c r="A475" s="93" t="s">
        <v>185</v>
      </c>
      <c r="B475" s="130"/>
      <c r="C475" s="130"/>
      <c r="D475" s="130"/>
      <c r="E475" s="131"/>
    </row>
    <row r="476" spans="1:5" ht="12.75">
      <c r="A476" s="93" t="s">
        <v>186</v>
      </c>
      <c r="B476" s="130"/>
      <c r="C476" s="130"/>
      <c r="D476" s="130"/>
      <c r="E476" s="131"/>
    </row>
    <row r="477" spans="1:5" ht="13.5" thickBot="1">
      <c r="A477" s="193" t="s">
        <v>187</v>
      </c>
      <c r="B477" s="194"/>
      <c r="C477" s="194"/>
      <c r="D477" s="194"/>
      <c r="E477" s="195"/>
    </row>
    <row r="478" spans="1:5" ht="12.75">
      <c r="A478" s="94" t="s">
        <v>198</v>
      </c>
      <c r="B478" s="188"/>
      <c r="C478" s="188"/>
      <c r="D478" s="188"/>
      <c r="E478" s="188"/>
    </row>
    <row r="479" spans="1:5" ht="12.75">
      <c r="A479" s="95"/>
      <c r="E479" s="18"/>
    </row>
    <row r="480" spans="1:5" ht="12.75">
      <c r="A480" s="95"/>
      <c r="E480" s="18"/>
    </row>
    <row r="481" spans="1:5" ht="12.75">
      <c r="A481" s="200" t="s">
        <v>199</v>
      </c>
      <c r="E481" s="18"/>
    </row>
    <row r="482" spans="1:5" ht="12.75">
      <c r="A482" s="39" t="s">
        <v>128</v>
      </c>
      <c r="B482" s="669" t="s">
        <v>7</v>
      </c>
      <c r="C482" s="653"/>
      <c r="D482" s="653"/>
      <c r="E482" s="59" t="s">
        <v>32</v>
      </c>
    </row>
    <row r="483" spans="1:5" ht="13.5" thickBot="1">
      <c r="A483" s="34" t="s">
        <v>129</v>
      </c>
      <c r="B483" s="38" t="s">
        <v>181</v>
      </c>
      <c r="C483" s="38" t="s">
        <v>182</v>
      </c>
      <c r="D483" s="38" t="s">
        <v>184</v>
      </c>
      <c r="E483" s="35" t="s">
        <v>197</v>
      </c>
    </row>
    <row r="484" spans="1:5" ht="13.5" thickTop="1">
      <c r="A484" s="93" t="s">
        <v>183</v>
      </c>
      <c r="B484" s="197"/>
      <c r="C484" s="197"/>
      <c r="D484" s="197"/>
      <c r="E484" s="197"/>
    </row>
    <row r="485" spans="1:5" ht="12.75">
      <c r="A485" s="93" t="s">
        <v>185</v>
      </c>
      <c r="B485" s="197"/>
      <c r="C485" s="197"/>
      <c r="D485" s="197"/>
      <c r="E485" s="197"/>
    </row>
    <row r="486" spans="1:5" ht="12.75">
      <c r="A486" s="93" t="s">
        <v>186</v>
      </c>
      <c r="B486" s="197"/>
      <c r="C486" s="197"/>
      <c r="D486" s="197"/>
      <c r="E486" s="197"/>
    </row>
    <row r="487" spans="1:5" ht="13.5" thickBot="1">
      <c r="A487" s="193" t="s">
        <v>187</v>
      </c>
      <c r="B487" s="199"/>
      <c r="C487" s="199"/>
      <c r="D487" s="199"/>
      <c r="E487" s="199"/>
    </row>
    <row r="488" spans="1:5" ht="12.75">
      <c r="A488" s="94" t="s">
        <v>198</v>
      </c>
      <c r="B488" s="198"/>
      <c r="C488" s="198"/>
      <c r="D488" s="198"/>
      <c r="E488" s="198"/>
    </row>
    <row r="511" spans="1:5" ht="12.75">
      <c r="A511" s="200" t="s">
        <v>202</v>
      </c>
      <c r="E511" s="18"/>
    </row>
    <row r="512" spans="1:5" ht="12.75">
      <c r="A512" s="39" t="s">
        <v>128</v>
      </c>
      <c r="B512" s="667" t="s">
        <v>8</v>
      </c>
      <c r="C512" s="668"/>
      <c r="D512" s="668"/>
      <c r="E512" s="59" t="s">
        <v>201</v>
      </c>
    </row>
    <row r="513" spans="1:5" ht="13.5" thickBot="1">
      <c r="A513" s="34" t="s">
        <v>129</v>
      </c>
      <c r="B513" s="160" t="s">
        <v>181</v>
      </c>
      <c r="C513" s="185" t="s">
        <v>182</v>
      </c>
      <c r="D513" s="160" t="s">
        <v>184</v>
      </c>
      <c r="E513" s="35" t="s">
        <v>129</v>
      </c>
    </row>
    <row r="514" spans="1:5" ht="13.5" thickTop="1">
      <c r="A514" s="93" t="s">
        <v>183</v>
      </c>
      <c r="B514" s="131"/>
      <c r="C514" s="131"/>
      <c r="D514" s="131"/>
      <c r="E514" s="131"/>
    </row>
    <row r="515" spans="1:5" ht="12.75">
      <c r="A515" s="93" t="s">
        <v>185</v>
      </c>
      <c r="B515" s="131"/>
      <c r="C515" s="131"/>
      <c r="D515" s="131"/>
      <c r="E515" s="131"/>
    </row>
    <row r="516" spans="1:5" ht="12.75">
      <c r="A516" s="93" t="s">
        <v>186</v>
      </c>
      <c r="B516" s="131"/>
      <c r="C516" s="131"/>
      <c r="D516" s="131"/>
      <c r="E516" s="131"/>
    </row>
    <row r="517" spans="1:5" ht="13.5" thickBot="1">
      <c r="A517" s="193" t="s">
        <v>187</v>
      </c>
      <c r="B517" s="195"/>
      <c r="C517" s="195"/>
      <c r="D517" s="195"/>
      <c r="E517" s="195"/>
    </row>
    <row r="518" spans="1:5" ht="12.75">
      <c r="A518" s="94" t="s">
        <v>200</v>
      </c>
      <c r="B518" s="188"/>
      <c r="C518" s="188"/>
      <c r="D518" s="188"/>
      <c r="E518" s="188"/>
    </row>
    <row r="519" spans="1:5" ht="12.75">
      <c r="A519" s="95"/>
      <c r="E519" s="18"/>
    </row>
    <row r="520" spans="1:5" ht="12.75">
      <c r="A520" s="95"/>
      <c r="E520" s="18"/>
    </row>
    <row r="521" spans="1:5" ht="12.75">
      <c r="A521" s="95"/>
      <c r="E521" s="18"/>
    </row>
    <row r="522" spans="1:5" ht="12.75">
      <c r="A522" s="200" t="s">
        <v>203</v>
      </c>
      <c r="E522" s="18"/>
    </row>
    <row r="523" spans="1:5" ht="12.75">
      <c r="A523" s="39" t="s">
        <v>128</v>
      </c>
      <c r="B523" s="667" t="s">
        <v>8</v>
      </c>
      <c r="C523" s="668"/>
      <c r="D523" s="668"/>
      <c r="E523" s="59" t="s">
        <v>201</v>
      </c>
    </row>
    <row r="524" spans="1:5" ht="13.5" thickBot="1">
      <c r="A524" s="34" t="s">
        <v>129</v>
      </c>
      <c r="B524" s="160" t="s">
        <v>181</v>
      </c>
      <c r="C524" s="185" t="s">
        <v>182</v>
      </c>
      <c r="D524" s="160" t="s">
        <v>184</v>
      </c>
      <c r="E524" s="35" t="s">
        <v>129</v>
      </c>
    </row>
    <row r="525" spans="1:5" ht="13.5" thickTop="1">
      <c r="A525" s="93" t="s">
        <v>183</v>
      </c>
      <c r="B525" s="197"/>
      <c r="C525" s="197"/>
      <c r="D525" s="197"/>
      <c r="E525" s="197"/>
    </row>
    <row r="526" spans="1:5" ht="12.75">
      <c r="A526" s="93" t="s">
        <v>185</v>
      </c>
      <c r="B526" s="197"/>
      <c r="C526" s="197"/>
      <c r="D526" s="197"/>
      <c r="E526" s="197"/>
    </row>
    <row r="527" spans="1:5" ht="12.75">
      <c r="A527" s="93" t="s">
        <v>186</v>
      </c>
      <c r="B527" s="197"/>
      <c r="C527" s="197"/>
      <c r="D527" s="197"/>
      <c r="E527" s="197"/>
    </row>
    <row r="528" spans="1:5" ht="13.5" thickBot="1">
      <c r="A528" s="193" t="s">
        <v>187</v>
      </c>
      <c r="B528" s="199"/>
      <c r="C528" s="199"/>
      <c r="D528" s="199"/>
      <c r="E528" s="199"/>
    </row>
    <row r="529" spans="1:5" ht="12.75">
      <c r="A529" s="94" t="s">
        <v>200</v>
      </c>
      <c r="B529" s="198"/>
      <c r="C529" s="198"/>
      <c r="D529" s="198"/>
      <c r="E529" s="198"/>
    </row>
    <row r="554" spans="1:5" ht="12.75">
      <c r="A554" s="200" t="s">
        <v>210</v>
      </c>
      <c r="E554" s="18"/>
    </row>
    <row r="555" spans="1:5" ht="12.75">
      <c r="A555" s="190" t="s">
        <v>179</v>
      </c>
      <c r="B555" s="667" t="s">
        <v>8</v>
      </c>
      <c r="C555" s="668"/>
      <c r="D555" s="668"/>
      <c r="E555" s="210" t="s">
        <v>209</v>
      </c>
    </row>
    <row r="556" spans="1:5" ht="13.5" thickBot="1">
      <c r="A556" s="189" t="s">
        <v>180</v>
      </c>
      <c r="B556" s="160" t="s">
        <v>181</v>
      </c>
      <c r="C556" s="185" t="s">
        <v>182</v>
      </c>
      <c r="D556" s="160" t="s">
        <v>184</v>
      </c>
      <c r="E556" s="40" t="s">
        <v>180</v>
      </c>
    </row>
    <row r="557" spans="1:5" ht="13.5" thickTop="1">
      <c r="A557" s="208" t="s">
        <v>181</v>
      </c>
      <c r="B557" s="4"/>
      <c r="C557" s="15"/>
      <c r="D557" s="4"/>
      <c r="E557" s="130"/>
    </row>
    <row r="558" spans="1:5" ht="12.75">
      <c r="A558" s="208" t="s">
        <v>182</v>
      </c>
      <c r="B558" s="4"/>
      <c r="C558" s="15"/>
      <c r="D558" s="4"/>
      <c r="E558" s="130"/>
    </row>
    <row r="559" spans="1:5" ht="13.5" thickBot="1">
      <c r="A559" s="211" t="s">
        <v>184</v>
      </c>
      <c r="B559" s="55"/>
      <c r="C559" s="68"/>
      <c r="D559" s="55"/>
      <c r="E559" s="194"/>
    </row>
    <row r="560" spans="1:5" ht="12.75">
      <c r="A560" s="209" t="s">
        <v>208</v>
      </c>
      <c r="B560" s="7"/>
      <c r="C560" s="43"/>
      <c r="D560" s="7"/>
      <c r="E560" s="137"/>
    </row>
    <row r="561" spans="1:5" ht="12.75">
      <c r="A561" s="95"/>
      <c r="E561" s="18"/>
    </row>
    <row r="562" spans="1:5" ht="12.75">
      <c r="A562" s="95"/>
      <c r="E562" s="18"/>
    </row>
    <row r="563" spans="1:5" ht="12.75">
      <c r="A563" s="200" t="s">
        <v>211</v>
      </c>
      <c r="E563" s="18"/>
    </row>
    <row r="564" spans="1:5" ht="12.75">
      <c r="A564" s="190" t="s">
        <v>179</v>
      </c>
      <c r="B564" s="667" t="s">
        <v>8</v>
      </c>
      <c r="C564" s="668"/>
      <c r="D564" s="668"/>
      <c r="E564" s="210" t="s">
        <v>209</v>
      </c>
    </row>
    <row r="565" spans="1:5" ht="13.5" thickBot="1">
      <c r="A565" s="189" t="s">
        <v>180</v>
      </c>
      <c r="B565" s="160" t="s">
        <v>221</v>
      </c>
      <c r="C565" s="185" t="s">
        <v>222</v>
      </c>
      <c r="D565" s="160" t="s">
        <v>223</v>
      </c>
      <c r="E565" s="40" t="s">
        <v>180</v>
      </c>
    </row>
    <row r="566" spans="1:5" ht="13.5" thickTop="1">
      <c r="A566" s="208" t="s">
        <v>218</v>
      </c>
      <c r="B566" s="96"/>
      <c r="C566" s="96"/>
      <c r="D566" s="96"/>
      <c r="E566" s="212"/>
    </row>
    <row r="567" spans="1:5" ht="12.75">
      <c r="A567" s="208" t="s">
        <v>219</v>
      </c>
      <c r="B567" s="96"/>
      <c r="C567" s="96"/>
      <c r="D567" s="96"/>
      <c r="E567" s="212"/>
    </row>
    <row r="568" spans="1:5" ht="13.5" thickBot="1">
      <c r="A568" s="211" t="s">
        <v>220</v>
      </c>
      <c r="B568" s="215"/>
      <c r="C568" s="215"/>
      <c r="D568" s="215"/>
      <c r="E568" s="213"/>
    </row>
    <row r="569" spans="1:5" ht="12.75">
      <c r="A569" s="209" t="s">
        <v>208</v>
      </c>
      <c r="B569" s="117"/>
      <c r="C569" s="116"/>
      <c r="D569" s="117"/>
      <c r="E569" s="214"/>
    </row>
    <row r="593" spans="1:5" ht="12.75">
      <c r="A593" s="226" t="s">
        <v>258</v>
      </c>
      <c r="B593" s="99"/>
      <c r="C593" s="99"/>
      <c r="D593" s="99"/>
      <c r="E593" s="216"/>
    </row>
    <row r="594" spans="1:5" ht="12.75">
      <c r="A594" s="226" t="s">
        <v>216</v>
      </c>
      <c r="B594" s="99"/>
      <c r="C594" s="99"/>
      <c r="D594" s="99"/>
      <c r="E594" s="216"/>
    </row>
    <row r="595" spans="1:5" ht="12.75">
      <c r="A595" s="39" t="s">
        <v>128</v>
      </c>
      <c r="B595" s="669" t="s">
        <v>7</v>
      </c>
      <c r="C595" s="653"/>
      <c r="D595" s="653"/>
      <c r="E595" s="59" t="s">
        <v>32</v>
      </c>
    </row>
    <row r="596" spans="1:5" ht="13.5" thickBot="1">
      <c r="A596" s="34" t="s">
        <v>129</v>
      </c>
      <c r="B596" s="38" t="s">
        <v>181</v>
      </c>
      <c r="C596" s="103" t="s">
        <v>182</v>
      </c>
      <c r="D596" s="231" t="s">
        <v>184</v>
      </c>
      <c r="E596" s="35" t="s">
        <v>197</v>
      </c>
    </row>
    <row r="597" spans="1:5" ht="13.5" thickTop="1">
      <c r="A597" s="93" t="s">
        <v>183</v>
      </c>
      <c r="B597" s="131"/>
      <c r="C597" s="186"/>
      <c r="D597" s="204"/>
      <c r="E597" s="131"/>
    </row>
    <row r="598" spans="1:5" ht="12.75">
      <c r="A598" s="104" t="s">
        <v>212</v>
      </c>
      <c r="B598" s="196"/>
      <c r="C598" s="227"/>
      <c r="D598" s="232"/>
      <c r="E598" s="131"/>
    </row>
    <row r="599" spans="1:5" ht="12.75">
      <c r="A599" s="104" t="s">
        <v>213</v>
      </c>
      <c r="B599" s="224"/>
      <c r="C599" s="228"/>
      <c r="D599" s="233"/>
      <c r="E599" s="224"/>
    </row>
    <row r="600" spans="1:5" ht="12.75">
      <c r="A600" s="93" t="s">
        <v>185</v>
      </c>
      <c r="B600" s="130"/>
      <c r="C600" s="134"/>
      <c r="D600" s="234"/>
      <c r="E600" s="131"/>
    </row>
    <row r="601" spans="1:5" ht="12.75">
      <c r="A601" s="104" t="s">
        <v>212</v>
      </c>
      <c r="B601" s="196"/>
      <c r="C601" s="227"/>
      <c r="D601" s="232"/>
      <c r="E601" s="131"/>
    </row>
    <row r="602" spans="1:5" ht="12.75">
      <c r="A602" s="104" t="s">
        <v>213</v>
      </c>
      <c r="B602" s="224"/>
      <c r="C602" s="228"/>
      <c r="D602" s="233"/>
      <c r="E602" s="224"/>
    </row>
    <row r="603" spans="1:5" ht="12.75">
      <c r="A603" s="93" t="s">
        <v>186</v>
      </c>
      <c r="B603" s="130"/>
      <c r="C603" s="134"/>
      <c r="D603" s="234"/>
      <c r="E603" s="131"/>
    </row>
    <row r="604" spans="1:5" ht="12.75">
      <c r="A604" s="104" t="s">
        <v>212</v>
      </c>
      <c r="B604" s="196"/>
      <c r="C604" s="227"/>
      <c r="D604" s="232"/>
      <c r="E604" s="131"/>
    </row>
    <row r="605" spans="1:5" ht="12.75">
      <c r="A605" s="104" t="s">
        <v>213</v>
      </c>
      <c r="B605" s="224"/>
      <c r="C605" s="228"/>
      <c r="D605" s="233"/>
      <c r="E605" s="224"/>
    </row>
    <row r="606" spans="1:5" ht="12.75">
      <c r="A606" s="93" t="s">
        <v>187</v>
      </c>
      <c r="B606" s="130"/>
      <c r="C606" s="134"/>
      <c r="D606" s="234"/>
      <c r="E606" s="131"/>
    </row>
    <row r="607" spans="1:5" ht="12.75">
      <c r="A607" s="104" t="s">
        <v>212</v>
      </c>
      <c r="B607" s="196"/>
      <c r="C607" s="227"/>
      <c r="D607" s="232"/>
      <c r="E607" s="131"/>
    </row>
    <row r="608" spans="1:5" ht="13.5" thickBot="1">
      <c r="A608" s="104" t="s">
        <v>213</v>
      </c>
      <c r="B608" s="225"/>
      <c r="C608" s="229"/>
      <c r="D608" s="235"/>
      <c r="E608" s="225"/>
    </row>
    <row r="609" spans="1:5" ht="12.75">
      <c r="A609" s="94" t="s">
        <v>198</v>
      </c>
      <c r="B609" s="188"/>
      <c r="C609" s="187"/>
      <c r="D609" s="207"/>
      <c r="E609" s="188"/>
    </row>
    <row r="610" spans="1:5" ht="12.75">
      <c r="A610" s="208"/>
      <c r="B610" s="99" t="s">
        <v>214</v>
      </c>
      <c r="C610" s="15"/>
      <c r="D610" s="99"/>
      <c r="E610" s="236"/>
    </row>
    <row r="611" spans="1:5" ht="12.75">
      <c r="A611" s="209"/>
      <c r="B611" s="116" t="s">
        <v>215</v>
      </c>
      <c r="C611" s="116"/>
      <c r="D611" s="116"/>
      <c r="E611" s="237"/>
    </row>
    <row r="614" ht="12.75">
      <c r="B614" s="447"/>
    </row>
    <row r="616" spans="1:5" ht="12.75">
      <c r="A616" s="200" t="s">
        <v>217</v>
      </c>
      <c r="E616" s="18"/>
    </row>
    <row r="617" spans="1:5" ht="12.75">
      <c r="A617" s="39" t="s">
        <v>128</v>
      </c>
      <c r="B617" s="667" t="s">
        <v>8</v>
      </c>
      <c r="C617" s="673"/>
      <c r="D617" s="673"/>
      <c r="E617" s="59" t="s">
        <v>201</v>
      </c>
    </row>
    <row r="618" spans="1:5" ht="13.5" thickBot="1">
      <c r="A618" s="34" t="s">
        <v>129</v>
      </c>
      <c r="B618" s="203" t="s">
        <v>181</v>
      </c>
      <c r="C618" s="203" t="s">
        <v>182</v>
      </c>
      <c r="D618" s="203" t="s">
        <v>184</v>
      </c>
      <c r="E618" s="38" t="s">
        <v>129</v>
      </c>
    </row>
    <row r="619" spans="1:5" ht="13.5" thickTop="1">
      <c r="A619" s="93" t="s">
        <v>183</v>
      </c>
      <c r="B619" s="204"/>
      <c r="C619" s="131"/>
      <c r="D619" s="204"/>
      <c r="E619" s="131"/>
    </row>
    <row r="620" spans="1:5" ht="12.75">
      <c r="A620" s="104" t="s">
        <v>204</v>
      </c>
      <c r="B620" s="205"/>
      <c r="C620" s="201"/>
      <c r="D620" s="205"/>
      <c r="E620" s="131"/>
    </row>
    <row r="621" spans="1:5" ht="12.75">
      <c r="A621" s="105" t="s">
        <v>206</v>
      </c>
      <c r="B621" s="220"/>
      <c r="C621" s="217"/>
      <c r="D621" s="220"/>
      <c r="E621" s="217"/>
    </row>
    <row r="622" spans="1:5" ht="12.75">
      <c r="A622" s="93" t="s">
        <v>185</v>
      </c>
      <c r="B622" s="204"/>
      <c r="C622" s="131"/>
      <c r="D622" s="204"/>
      <c r="E622" s="131"/>
    </row>
    <row r="623" spans="1:5" ht="12.75">
      <c r="A623" s="104" t="s">
        <v>204</v>
      </c>
      <c r="B623" s="205"/>
      <c r="C623" s="201"/>
      <c r="D623" s="205"/>
      <c r="E623" s="131"/>
    </row>
    <row r="624" spans="1:5" ht="12.75">
      <c r="A624" s="105" t="s">
        <v>206</v>
      </c>
      <c r="B624" s="206"/>
      <c r="C624" s="202"/>
      <c r="D624" s="206"/>
      <c r="E624" s="202"/>
    </row>
    <row r="625" spans="1:5" ht="12.75">
      <c r="A625" s="71" t="s">
        <v>186</v>
      </c>
      <c r="B625" s="186"/>
      <c r="C625" s="186"/>
      <c r="D625" s="186"/>
      <c r="E625" s="186"/>
    </row>
    <row r="626" spans="1:5" ht="12.75">
      <c r="A626" s="104" t="s">
        <v>204</v>
      </c>
      <c r="B626" s="205"/>
      <c r="C626" s="201"/>
      <c r="D626" s="205"/>
      <c r="E626" s="131"/>
    </row>
    <row r="627" spans="1:5" ht="12.75">
      <c r="A627" s="105" t="s">
        <v>206</v>
      </c>
      <c r="B627" s="220"/>
      <c r="C627" s="217"/>
      <c r="D627" s="220"/>
      <c r="E627" s="217"/>
    </row>
    <row r="628" spans="1:5" ht="12.75">
      <c r="A628" s="71" t="s">
        <v>187</v>
      </c>
      <c r="B628" s="186"/>
      <c r="C628" s="186"/>
      <c r="D628" s="186"/>
      <c r="E628" s="186"/>
    </row>
    <row r="629" spans="1:5" ht="12.75">
      <c r="A629" s="104" t="s">
        <v>204</v>
      </c>
      <c r="B629" s="205"/>
      <c r="C629" s="201"/>
      <c r="D629" s="205"/>
      <c r="E629" s="131"/>
    </row>
    <row r="630" spans="1:5" ht="13.5" thickBot="1">
      <c r="A630" s="221" t="s">
        <v>206</v>
      </c>
      <c r="B630" s="222"/>
      <c r="C630" s="223"/>
      <c r="D630" s="222"/>
      <c r="E630" s="223"/>
    </row>
    <row r="631" spans="1:5" ht="12.75">
      <c r="A631" s="94" t="s">
        <v>200</v>
      </c>
      <c r="B631" s="207"/>
      <c r="C631" s="188"/>
      <c r="D631" s="207"/>
      <c r="E631" s="188"/>
    </row>
    <row r="632" spans="1:5" ht="12.75">
      <c r="A632" s="93"/>
      <c r="B632" s="15"/>
      <c r="C632" s="14" t="s">
        <v>205</v>
      </c>
      <c r="D632" s="15"/>
      <c r="E632" s="218"/>
    </row>
    <row r="633" spans="1:5" ht="12.75">
      <c r="A633" s="94"/>
      <c r="B633" s="43"/>
      <c r="C633" s="21" t="s">
        <v>207</v>
      </c>
      <c r="D633" s="43"/>
      <c r="E633" s="219"/>
    </row>
    <row r="659" spans="1:5" ht="12.75">
      <c r="A659" s="200" t="s">
        <v>224</v>
      </c>
      <c r="E659" s="18"/>
    </row>
    <row r="660" spans="1:5" ht="12.75">
      <c r="A660" s="190" t="s">
        <v>179</v>
      </c>
      <c r="B660" s="667" t="s">
        <v>8</v>
      </c>
      <c r="C660" s="668"/>
      <c r="D660" s="668"/>
      <c r="E660" s="210" t="s">
        <v>209</v>
      </c>
    </row>
    <row r="661" spans="1:5" ht="13.5" thickBot="1">
      <c r="A661" s="189" t="s">
        <v>180</v>
      </c>
      <c r="B661" s="160" t="s">
        <v>181</v>
      </c>
      <c r="C661" s="185" t="s">
        <v>182</v>
      </c>
      <c r="D661" s="203" t="s">
        <v>184</v>
      </c>
      <c r="E661" s="40" t="s">
        <v>180</v>
      </c>
    </row>
    <row r="662" spans="1:5" ht="13.5" thickTop="1">
      <c r="A662" s="208" t="s">
        <v>181</v>
      </c>
      <c r="B662" s="4"/>
      <c r="C662" s="15"/>
      <c r="D662" s="14"/>
      <c r="E662" s="130"/>
    </row>
    <row r="663" spans="1:5" ht="12.75">
      <c r="A663" s="208"/>
      <c r="B663" s="16"/>
      <c r="C663" s="50"/>
      <c r="D663" s="238"/>
      <c r="E663" s="133"/>
    </row>
    <row r="664" spans="1:5" ht="12.75">
      <c r="A664" s="209"/>
      <c r="B664" s="122"/>
      <c r="C664" s="240"/>
      <c r="D664" s="241"/>
      <c r="E664" s="242"/>
    </row>
    <row r="665" spans="1:5" ht="12.75">
      <c r="A665" s="208" t="s">
        <v>182</v>
      </c>
      <c r="B665" s="4"/>
      <c r="C665" s="15"/>
      <c r="D665" s="14"/>
      <c r="E665" s="130"/>
    </row>
    <row r="666" spans="1:5" ht="12.75">
      <c r="A666" s="208"/>
      <c r="B666" s="16"/>
      <c r="C666" s="50"/>
      <c r="D666" s="238"/>
      <c r="E666" s="133"/>
    </row>
    <row r="667" spans="1:5" ht="12.75">
      <c r="A667" s="209"/>
      <c r="B667" s="122"/>
      <c r="C667" s="240"/>
      <c r="D667" s="241"/>
      <c r="E667" s="242"/>
    </row>
    <row r="668" spans="1:5" ht="12.75">
      <c r="A668" s="208" t="s">
        <v>184</v>
      </c>
      <c r="B668" s="4"/>
      <c r="C668" s="15"/>
      <c r="D668" s="14"/>
      <c r="E668" s="130"/>
    </row>
    <row r="669" spans="1:5" ht="12.75">
      <c r="A669" s="208"/>
      <c r="B669" s="16"/>
      <c r="C669" s="50"/>
      <c r="D669" s="238"/>
      <c r="E669" s="133"/>
    </row>
    <row r="670" spans="1:5" ht="13.5" thickBot="1">
      <c r="A670" s="211"/>
      <c r="B670" s="243"/>
      <c r="C670" s="244"/>
      <c r="D670" s="245"/>
      <c r="E670" s="246"/>
    </row>
    <row r="671" spans="1:5" ht="12.75">
      <c r="A671" s="209" t="s">
        <v>200</v>
      </c>
      <c r="B671" s="7"/>
      <c r="C671" s="43"/>
      <c r="D671" s="21"/>
      <c r="E671" s="137"/>
    </row>
    <row r="672" spans="1:5" ht="12.75">
      <c r="A672" s="93"/>
      <c r="B672" s="15"/>
      <c r="C672" s="190" t="s">
        <v>205</v>
      </c>
      <c r="D672" s="239"/>
      <c r="E672" s="247"/>
    </row>
    <row r="673" spans="1:5" ht="12.75">
      <c r="A673" s="94"/>
      <c r="B673" s="43"/>
      <c r="C673" s="94" t="s">
        <v>207</v>
      </c>
      <c r="D673" s="85"/>
      <c r="E673" s="248"/>
    </row>
    <row r="696" ht="12.75">
      <c r="A696" s="200" t="s">
        <v>259</v>
      </c>
    </row>
    <row r="698" ht="12.75">
      <c r="A698" s="200" t="s">
        <v>247</v>
      </c>
    </row>
    <row r="699" spans="1:8" ht="12.75">
      <c r="A699" s="503"/>
      <c r="B699" s="503"/>
      <c r="C699" s="503"/>
      <c r="D699" s="503"/>
      <c r="E699" s="503"/>
      <c r="F699" s="503"/>
      <c r="G699" s="503"/>
      <c r="H699" s="503"/>
    </row>
    <row r="700" spans="1:8" ht="13.5" thickBot="1">
      <c r="A700" s="503"/>
      <c r="B700" s="503"/>
      <c r="C700" s="503"/>
      <c r="D700" s="503"/>
      <c r="E700" s="503"/>
      <c r="F700" s="503"/>
      <c r="G700" s="503"/>
      <c r="H700" s="503"/>
    </row>
    <row r="701" spans="1:8" ht="12.75">
      <c r="A701" s="504"/>
      <c r="B701" s="505"/>
      <c r="C701" s="503"/>
      <c r="D701" s="503"/>
      <c r="E701" s="503"/>
      <c r="F701" s="503"/>
      <c r="G701" s="503"/>
      <c r="H701" s="503"/>
    </row>
    <row r="702" spans="1:8" ht="12.75">
      <c r="A702" s="506"/>
      <c r="B702" s="507"/>
      <c r="C702" s="503"/>
      <c r="D702" s="503"/>
      <c r="E702" s="503"/>
      <c r="F702" s="503"/>
      <c r="G702" s="503"/>
      <c r="H702" s="503"/>
    </row>
    <row r="703" spans="1:8" ht="12.75">
      <c r="A703" s="506"/>
      <c r="B703" s="507"/>
      <c r="C703" s="503"/>
      <c r="D703" s="503"/>
      <c r="E703" s="503"/>
      <c r="F703" s="503"/>
      <c r="G703" s="503"/>
      <c r="H703" s="503"/>
    </row>
    <row r="704" spans="1:8" ht="12.75">
      <c r="A704" s="506"/>
      <c r="B704" s="507"/>
      <c r="C704" s="503"/>
      <c r="D704" s="503"/>
      <c r="E704" s="503"/>
      <c r="F704" s="503"/>
      <c r="G704" s="503"/>
      <c r="H704" s="503"/>
    </row>
    <row r="705" spans="1:8" ht="12.75">
      <c r="A705" s="506"/>
      <c r="B705" s="507"/>
      <c r="C705" s="503"/>
      <c r="D705" s="503"/>
      <c r="E705" s="503"/>
      <c r="F705" s="503"/>
      <c r="G705" s="503"/>
      <c r="H705" s="503"/>
    </row>
    <row r="706" spans="1:8" ht="13.5" thickBot="1">
      <c r="A706" s="508"/>
      <c r="B706" s="509"/>
      <c r="C706" s="503"/>
      <c r="D706" s="503"/>
      <c r="E706" s="503"/>
      <c r="F706" s="503"/>
      <c r="G706" s="503"/>
      <c r="H706" s="503"/>
    </row>
    <row r="707" spans="1:8" ht="12.75">
      <c r="A707" s="503"/>
      <c r="B707" s="503"/>
      <c r="C707" s="503"/>
      <c r="D707" s="503"/>
      <c r="E707" s="503"/>
      <c r="F707" s="503"/>
      <c r="G707" s="503"/>
      <c r="H707" s="503"/>
    </row>
    <row r="708" spans="1:8" ht="12.75">
      <c r="A708" s="503"/>
      <c r="B708" s="503"/>
      <c r="C708" s="503"/>
      <c r="D708" s="503"/>
      <c r="E708" s="503"/>
      <c r="F708" s="503"/>
      <c r="G708" s="503"/>
      <c r="H708" s="503"/>
    </row>
    <row r="709" spans="1:8" ht="12.75">
      <c r="A709" s="510"/>
      <c r="B709" s="510"/>
      <c r="C709" s="510"/>
      <c r="D709" s="510"/>
      <c r="E709" s="510"/>
      <c r="F709" s="510"/>
      <c r="G709" s="510"/>
      <c r="H709" s="510"/>
    </row>
    <row r="710" spans="1:8" ht="13.5" thickBot="1">
      <c r="A710" s="511"/>
      <c r="B710" s="511"/>
      <c r="C710" s="511"/>
      <c r="D710" s="511"/>
      <c r="E710" s="511"/>
      <c r="F710" s="511"/>
      <c r="G710" s="512"/>
      <c r="H710" s="512"/>
    </row>
    <row r="711" spans="1:8" ht="13.5" thickTop="1">
      <c r="A711" s="506"/>
      <c r="B711" s="513"/>
      <c r="C711" s="507"/>
      <c r="D711" s="507"/>
      <c r="E711" s="507"/>
      <c r="F711" s="507"/>
      <c r="G711" s="514"/>
      <c r="H711" s="514"/>
    </row>
    <row r="712" spans="1:8" ht="12.75">
      <c r="A712" s="506"/>
      <c r="B712" s="513"/>
      <c r="C712" s="507"/>
      <c r="D712" s="507"/>
      <c r="E712" s="507"/>
      <c r="F712" s="507"/>
      <c r="G712" s="503"/>
      <c r="H712" s="503"/>
    </row>
    <row r="713" spans="1:8" ht="13.5" thickBot="1">
      <c r="A713" s="508"/>
      <c r="B713" s="509"/>
      <c r="C713" s="515"/>
      <c r="D713" s="515"/>
      <c r="E713" s="515"/>
      <c r="F713" s="515"/>
      <c r="G713" s="516"/>
      <c r="H713" s="516"/>
    </row>
    <row r="714" spans="1:8" ht="13.5" thickBot="1">
      <c r="A714" s="503"/>
      <c r="B714" s="503"/>
      <c r="C714" s="503"/>
      <c r="D714" s="503"/>
      <c r="E714" s="503"/>
      <c r="F714" s="503"/>
      <c r="G714" s="503"/>
      <c r="H714" s="503"/>
    </row>
    <row r="715" spans="1:8" ht="12.75">
      <c r="A715" s="517"/>
      <c r="B715" s="517"/>
      <c r="C715" s="517"/>
      <c r="D715" s="517"/>
      <c r="E715" s="517"/>
      <c r="F715" s="517"/>
      <c r="G715" s="517"/>
      <c r="H715" s="503"/>
    </row>
    <row r="716" spans="1:8" ht="12.75">
      <c r="A716" s="506"/>
      <c r="B716" s="507"/>
      <c r="C716" s="507"/>
      <c r="D716" s="507"/>
      <c r="E716" s="507"/>
      <c r="F716" s="507"/>
      <c r="G716" s="507"/>
      <c r="H716" s="503"/>
    </row>
    <row r="717" spans="1:8" ht="12.75">
      <c r="A717" s="506"/>
      <c r="B717" s="507"/>
      <c r="C717" s="507"/>
      <c r="D717" s="507"/>
      <c r="E717" s="507"/>
      <c r="F717" s="507"/>
      <c r="G717" s="507"/>
      <c r="H717" s="503"/>
    </row>
    <row r="718" spans="1:8" ht="12.75">
      <c r="A718" s="506"/>
      <c r="B718" s="507"/>
      <c r="C718" s="507"/>
      <c r="D718" s="507"/>
      <c r="E718" s="507"/>
      <c r="F718" s="507"/>
      <c r="G718" s="507"/>
      <c r="H718" s="503"/>
    </row>
    <row r="719" spans="1:8" ht="13.5" thickBot="1">
      <c r="A719" s="508"/>
      <c r="B719" s="515"/>
      <c r="C719" s="515"/>
      <c r="D719" s="515"/>
      <c r="E719" s="515"/>
      <c r="F719" s="515"/>
      <c r="G719" s="515"/>
      <c r="H719" s="503"/>
    </row>
    <row r="721" ht="12.75">
      <c r="A721" s="443" t="s">
        <v>290</v>
      </c>
    </row>
    <row r="722" spans="1:3" ht="12.75">
      <c r="A722" s="419"/>
      <c r="B722" s="420" t="s">
        <v>287</v>
      </c>
      <c r="C722" s="498" t="s">
        <v>289</v>
      </c>
    </row>
    <row r="723" spans="1:3" ht="13.5" thickBot="1">
      <c r="A723" s="426" t="s">
        <v>128</v>
      </c>
      <c r="B723" s="499" t="s">
        <v>288</v>
      </c>
      <c r="C723" s="500" t="s">
        <v>286</v>
      </c>
    </row>
    <row r="724" spans="1:3" ht="12.75">
      <c r="A724" s="382" t="s">
        <v>183</v>
      </c>
      <c r="B724" s="379"/>
      <c r="C724" s="404"/>
    </row>
    <row r="725" spans="1:3" ht="12.75">
      <c r="A725" s="382" t="s">
        <v>185</v>
      </c>
      <c r="B725" s="379"/>
      <c r="C725" s="404"/>
    </row>
    <row r="726" spans="1:3" ht="12.75">
      <c r="A726" s="382" t="s">
        <v>186</v>
      </c>
      <c r="B726" s="379"/>
      <c r="C726" s="404"/>
    </row>
    <row r="727" spans="1:3" ht="12.75">
      <c r="A727" s="433" t="s">
        <v>187</v>
      </c>
      <c r="B727" s="501"/>
      <c r="C727" s="502"/>
    </row>
    <row r="749" ht="12.75">
      <c r="A749" s="200" t="s">
        <v>248</v>
      </c>
    </row>
    <row r="751" spans="1:7" ht="13.5" thickBot="1">
      <c r="A751" s="610" t="s">
        <v>323</v>
      </c>
      <c r="B751" s="503"/>
      <c r="C751" s="503"/>
      <c r="D751" s="503"/>
      <c r="E751" s="503"/>
      <c r="F751" s="503"/>
      <c r="G751" s="503"/>
    </row>
    <row r="752" spans="1:7" ht="12.75">
      <c r="A752" s="517"/>
      <c r="B752" s="517" t="s">
        <v>35</v>
      </c>
      <c r="C752" s="517" t="s">
        <v>4</v>
      </c>
      <c r="D752" s="517" t="s">
        <v>34</v>
      </c>
      <c r="E752" s="517" t="s">
        <v>197</v>
      </c>
      <c r="F752" s="517" t="s">
        <v>225</v>
      </c>
      <c r="G752" s="517" t="s">
        <v>226</v>
      </c>
    </row>
    <row r="753" spans="1:7" ht="12.75">
      <c r="A753" s="506" t="s">
        <v>35</v>
      </c>
      <c r="B753" s="507"/>
      <c r="C753" s="513"/>
      <c r="D753" s="513"/>
      <c r="E753" s="513"/>
      <c r="F753" s="513"/>
      <c r="G753" s="513"/>
    </row>
    <row r="754" spans="1:7" ht="12.75">
      <c r="A754" s="506" t="s">
        <v>4</v>
      </c>
      <c r="B754" s="507"/>
      <c r="C754" s="507"/>
      <c r="D754" s="513"/>
      <c r="E754" s="513"/>
      <c r="F754" s="513"/>
      <c r="G754" s="513"/>
    </row>
    <row r="755" spans="1:7" ht="12.75">
      <c r="A755" s="506" t="s">
        <v>34</v>
      </c>
      <c r="B755" s="507"/>
      <c r="C755" s="507"/>
      <c r="D755" s="507"/>
      <c r="E755" s="513"/>
      <c r="F755" s="513"/>
      <c r="G755" s="513"/>
    </row>
    <row r="756" spans="1:7" ht="12.75">
      <c r="A756" s="506" t="s">
        <v>197</v>
      </c>
      <c r="B756" s="507"/>
      <c r="C756" s="507"/>
      <c r="D756" s="507"/>
      <c r="E756" s="507"/>
      <c r="F756" s="513"/>
      <c r="G756" s="513"/>
    </row>
    <row r="757" spans="1:7" ht="12.75">
      <c r="A757" s="506" t="s">
        <v>225</v>
      </c>
      <c r="B757" s="507"/>
      <c r="C757" s="507"/>
      <c r="D757" s="507"/>
      <c r="E757" s="507"/>
      <c r="F757" s="507"/>
      <c r="G757" s="513"/>
    </row>
    <row r="758" spans="1:7" ht="13.5" thickBot="1">
      <c r="A758" s="508" t="s">
        <v>226</v>
      </c>
      <c r="B758" s="515"/>
      <c r="C758" s="515"/>
      <c r="D758" s="515"/>
      <c r="E758" s="515"/>
      <c r="F758" s="515"/>
      <c r="G758" s="611"/>
    </row>
    <row r="759" spans="1:5" ht="12.75">
      <c r="A759" s="95"/>
      <c r="E759" s="18"/>
    </row>
    <row r="760" spans="1:5" ht="13.5" thickBot="1">
      <c r="A760" s="200" t="s">
        <v>249</v>
      </c>
      <c r="E760" s="18"/>
    </row>
    <row r="761" spans="1:7" ht="12.75">
      <c r="A761" s="250"/>
      <c r="B761" s="250" t="s">
        <v>35</v>
      </c>
      <c r="C761" s="250" t="s">
        <v>197</v>
      </c>
      <c r="D761" s="250" t="s">
        <v>225</v>
      </c>
      <c r="E761" s="250" t="s">
        <v>226</v>
      </c>
      <c r="F761" s="250" t="s">
        <v>4</v>
      </c>
      <c r="G761" s="250" t="s">
        <v>34</v>
      </c>
    </row>
    <row r="762" spans="1:5" ht="12.75">
      <c r="A762" s="251" t="s">
        <v>35</v>
      </c>
      <c r="B762" s="76"/>
      <c r="E762" s="18"/>
    </row>
    <row r="763" spans="1:5" ht="12.75">
      <c r="A763" s="251" t="s">
        <v>197</v>
      </c>
      <c r="B763" s="76"/>
      <c r="E763" s="18"/>
    </row>
    <row r="764" spans="1:5" ht="12.75">
      <c r="A764" s="251" t="s">
        <v>225</v>
      </c>
      <c r="B764" s="519"/>
      <c r="C764" s="76"/>
      <c r="E764" s="18"/>
    </row>
    <row r="765" spans="1:5" ht="12.75">
      <c r="A765" s="251" t="s">
        <v>226</v>
      </c>
      <c r="B765" s="518"/>
      <c r="C765" s="76"/>
      <c r="D765" s="76"/>
      <c r="E765" s="18"/>
    </row>
    <row r="766" spans="1:5" ht="12.75">
      <c r="A766" s="251" t="s">
        <v>4</v>
      </c>
      <c r="B766" s="76"/>
      <c r="C766" s="76"/>
      <c r="D766" s="76"/>
      <c r="E766" s="76"/>
    </row>
    <row r="767" spans="1:7" ht="13.5" thickBot="1">
      <c r="A767" s="252" t="s">
        <v>34</v>
      </c>
      <c r="B767" s="56"/>
      <c r="C767" s="56"/>
      <c r="D767" s="56"/>
      <c r="E767" s="56"/>
      <c r="F767" s="56"/>
      <c r="G767" s="68"/>
    </row>
    <row r="770" ht="12.75">
      <c r="A770" s="13" t="s">
        <v>313</v>
      </c>
    </row>
    <row r="771" ht="12.75">
      <c r="A771" s="13" t="s">
        <v>291</v>
      </c>
    </row>
    <row r="773" spans="1:3" ht="13.5" thickBot="1">
      <c r="A773" s="335" t="s">
        <v>292</v>
      </c>
      <c r="B773" s="111"/>
      <c r="C773" s="20"/>
    </row>
    <row r="774" spans="1:3" ht="13.5" thickTop="1">
      <c r="A774" s="371" t="s">
        <v>56</v>
      </c>
      <c r="B774" s="15"/>
      <c r="C774" s="17"/>
    </row>
    <row r="775" spans="1:3" ht="12.75">
      <c r="A775" s="371" t="s">
        <v>293</v>
      </c>
      <c r="B775" s="15"/>
      <c r="C775" s="16"/>
    </row>
    <row r="776" spans="1:3" ht="12.75">
      <c r="A776" s="371" t="s">
        <v>294</v>
      </c>
      <c r="B776" s="15"/>
      <c r="C776" s="16"/>
    </row>
    <row r="777" spans="1:3" ht="12.75">
      <c r="A777" s="371" t="s">
        <v>295</v>
      </c>
      <c r="B777" s="15"/>
      <c r="C777" s="17"/>
    </row>
    <row r="778" spans="1:3" ht="12.75">
      <c r="A778" s="369" t="s">
        <v>296</v>
      </c>
      <c r="B778" s="43"/>
      <c r="C778" s="167"/>
    </row>
    <row r="781" spans="1:2" ht="12.75">
      <c r="A781" s="536" t="s">
        <v>309</v>
      </c>
      <c r="B781" s="536" t="s">
        <v>310</v>
      </c>
    </row>
    <row r="782" spans="1:4" ht="13.5" thickBot="1">
      <c r="A782" s="522" t="s">
        <v>299</v>
      </c>
      <c r="B782" s="338" t="s">
        <v>33</v>
      </c>
      <c r="C782" s="523" t="s">
        <v>297</v>
      </c>
      <c r="D782" s="524" t="s">
        <v>298</v>
      </c>
    </row>
    <row r="783" spans="1:4" ht="13.5" thickTop="1">
      <c r="A783" s="336" t="s">
        <v>138</v>
      </c>
      <c r="B783" s="526"/>
      <c r="C783" s="527"/>
      <c r="D783" s="528"/>
    </row>
    <row r="784" spans="1:4" ht="12.75">
      <c r="A784" s="336" t="s">
        <v>139</v>
      </c>
      <c r="B784" s="332"/>
      <c r="C784" s="16"/>
      <c r="D784" s="114"/>
    </row>
    <row r="785" spans="1:4" ht="12.75">
      <c r="A785" s="336" t="s">
        <v>140</v>
      </c>
      <c r="B785" s="332"/>
      <c r="C785" s="16"/>
      <c r="D785" s="114"/>
    </row>
    <row r="786" spans="1:4" ht="13.5" thickBot="1">
      <c r="A786" s="520" t="s">
        <v>141</v>
      </c>
      <c r="B786" s="521"/>
      <c r="C786" s="82"/>
      <c r="D786" s="525"/>
    </row>
    <row r="787" spans="1:4" ht="12.75">
      <c r="A787" s="369" t="s">
        <v>101</v>
      </c>
      <c r="B787" s="7"/>
      <c r="C787" s="97"/>
      <c r="D787" s="85"/>
    </row>
    <row r="790" spans="1:2" ht="12.75">
      <c r="A790" s="13" t="s">
        <v>311</v>
      </c>
      <c r="B790" s="13" t="s">
        <v>312</v>
      </c>
    </row>
    <row r="791" spans="1:6" ht="13.5" thickBot="1">
      <c r="A791" s="338" t="s">
        <v>146</v>
      </c>
      <c r="B791" s="339" t="s">
        <v>33</v>
      </c>
      <c r="C791" s="535" t="s">
        <v>56</v>
      </c>
      <c r="D791" s="338" t="s">
        <v>106</v>
      </c>
      <c r="E791" s="339" t="s">
        <v>300</v>
      </c>
      <c r="F791" s="338" t="s">
        <v>298</v>
      </c>
    </row>
    <row r="792" spans="1:6" ht="13.5" thickTop="1">
      <c r="A792" s="529" t="s">
        <v>138</v>
      </c>
      <c r="B792" s="596"/>
      <c r="C792" s="597"/>
      <c r="D792" s="597"/>
      <c r="E792" s="598"/>
      <c r="F792" s="599"/>
    </row>
    <row r="793" spans="1:6" ht="12.75">
      <c r="A793" s="529" t="s">
        <v>139</v>
      </c>
      <c r="B793" s="32"/>
      <c r="C793" s="531"/>
      <c r="D793" s="531"/>
      <c r="E793" s="126"/>
      <c r="F793" s="532"/>
    </row>
    <row r="794" spans="1:6" ht="12.75">
      <c r="A794" s="529" t="s">
        <v>140</v>
      </c>
      <c r="B794" s="32"/>
      <c r="C794" s="531"/>
      <c r="D794" s="531"/>
      <c r="E794" s="126"/>
      <c r="F794" s="532"/>
    </row>
    <row r="795" spans="1:6" ht="13.5" thickBot="1">
      <c r="A795" s="530" t="s">
        <v>141</v>
      </c>
      <c r="B795" s="125"/>
      <c r="C795" s="533"/>
      <c r="D795" s="533"/>
      <c r="E795" s="127"/>
      <c r="F795" s="534"/>
    </row>
    <row r="796" spans="1:6" ht="12.75">
      <c r="A796" s="7"/>
      <c r="B796" s="43"/>
      <c r="C796" s="7"/>
      <c r="D796" s="465" t="s">
        <v>32</v>
      </c>
      <c r="E796" s="101"/>
      <c r="F796" s="120"/>
    </row>
    <row r="800" ht="12.75">
      <c r="A800" s="13" t="s">
        <v>302</v>
      </c>
    </row>
    <row r="802" spans="1:3" ht="12.75">
      <c r="A802" s="1" t="s">
        <v>304</v>
      </c>
      <c r="B802" s="42"/>
      <c r="C802" s="537"/>
    </row>
    <row r="803" spans="1:3" ht="12.75">
      <c r="A803" s="14" t="s">
        <v>303</v>
      </c>
      <c r="B803" s="15"/>
      <c r="C803" s="4"/>
    </row>
    <row r="804" spans="1:3" ht="12.75">
      <c r="A804" s="14" t="s">
        <v>305</v>
      </c>
      <c r="B804" s="15"/>
      <c r="C804" s="4"/>
    </row>
    <row r="805" spans="1:3" ht="12.75">
      <c r="A805" s="14" t="s">
        <v>306</v>
      </c>
      <c r="B805" s="15"/>
      <c r="C805" s="4"/>
    </row>
    <row r="806" spans="1:3" ht="12.75">
      <c r="A806" s="14" t="s">
        <v>307</v>
      </c>
      <c r="B806" s="15"/>
      <c r="C806" s="4"/>
    </row>
    <row r="807" spans="1:3" ht="12.75">
      <c r="A807" s="21" t="s">
        <v>308</v>
      </c>
      <c r="B807" s="43"/>
      <c r="C807" s="7"/>
    </row>
    <row r="811" spans="1:3" ht="13.5" thickBot="1">
      <c r="A811" s="335" t="s">
        <v>292</v>
      </c>
      <c r="B811" s="111"/>
      <c r="C811" s="20"/>
    </row>
    <row r="812" spans="1:3" ht="13.5" thickTop="1">
      <c r="A812" s="371" t="s">
        <v>56</v>
      </c>
      <c r="B812" s="15"/>
      <c r="C812" s="17"/>
    </row>
    <row r="813" spans="1:3" ht="12.75">
      <c r="A813" s="371" t="s">
        <v>293</v>
      </c>
      <c r="B813" s="15"/>
      <c r="C813" s="16"/>
    </row>
    <row r="814" spans="1:3" ht="12.75">
      <c r="A814" s="371" t="s">
        <v>294</v>
      </c>
      <c r="B814" s="15"/>
      <c r="C814" s="16"/>
    </row>
    <row r="815" spans="1:3" ht="12.75">
      <c r="A815" s="371" t="s">
        <v>295</v>
      </c>
      <c r="B815" s="15"/>
      <c r="C815" s="17"/>
    </row>
    <row r="816" spans="1:3" ht="12.75">
      <c r="A816" s="369" t="s">
        <v>296</v>
      </c>
      <c r="B816" s="43"/>
      <c r="C816" s="167"/>
    </row>
    <row r="818" spans="5:6" ht="12.75">
      <c r="E818" s="15"/>
      <c r="F818" s="330"/>
    </row>
    <row r="819" spans="5:6" ht="12.75">
      <c r="E819" s="15"/>
      <c r="F819" s="330"/>
    </row>
    <row r="820" spans="1:6" ht="12.75">
      <c r="A820" s="13" t="s">
        <v>321</v>
      </c>
      <c r="E820" s="15"/>
      <c r="F820" s="330"/>
    </row>
    <row r="821" spans="1:11" ht="12.75">
      <c r="A821" s="558" t="s">
        <v>56</v>
      </c>
      <c r="B821" s="42"/>
      <c r="C821" s="567"/>
      <c r="D821" s="42"/>
      <c r="E821" s="42"/>
      <c r="F821" s="553"/>
      <c r="G821" s="42"/>
      <c r="H821" s="42"/>
      <c r="I821" s="42"/>
      <c r="J821" s="42"/>
      <c r="K821" s="239"/>
    </row>
    <row r="822" spans="1:11" ht="12.75">
      <c r="A822" s="371" t="s">
        <v>147</v>
      </c>
      <c r="B822" s="15"/>
      <c r="C822" s="568"/>
      <c r="D822" s="15"/>
      <c r="E822" s="15"/>
      <c r="F822" s="15"/>
      <c r="G822" s="15"/>
      <c r="H822" s="15"/>
      <c r="I822" s="15"/>
      <c r="J822" s="15"/>
      <c r="K822" s="114"/>
    </row>
    <row r="823" spans="1:11" ht="12.75">
      <c r="A823" s="371" t="s">
        <v>281</v>
      </c>
      <c r="B823" s="15"/>
      <c r="C823" s="569"/>
      <c r="D823" s="15"/>
      <c r="E823" s="15"/>
      <c r="F823" s="15"/>
      <c r="G823" s="15"/>
      <c r="H823" s="15"/>
      <c r="I823" s="15"/>
      <c r="J823" s="15"/>
      <c r="K823" s="114"/>
    </row>
    <row r="824" spans="1:11" ht="12.75">
      <c r="A824" s="14"/>
      <c r="B824" s="670" t="s">
        <v>319</v>
      </c>
      <c r="C824" s="671"/>
      <c r="D824" s="671"/>
      <c r="E824" s="671"/>
      <c r="F824" s="671"/>
      <c r="G824" s="671"/>
      <c r="H824" s="671"/>
      <c r="I824" s="671"/>
      <c r="J824" s="671"/>
      <c r="K824" s="672"/>
    </row>
    <row r="825" spans="1:11" ht="12.75">
      <c r="A825" s="1"/>
      <c r="B825" s="561">
        <v>0.01</v>
      </c>
      <c r="C825" s="562">
        <f>B825+0.01</f>
        <v>0.02</v>
      </c>
      <c r="D825" s="562">
        <f aca="true" t="shared" si="0" ref="D825:K825">C825+0.01</f>
        <v>0.03</v>
      </c>
      <c r="E825" s="562">
        <f t="shared" si="0"/>
        <v>0.04</v>
      </c>
      <c r="F825" s="562">
        <f t="shared" si="0"/>
        <v>0.05</v>
      </c>
      <c r="G825" s="562">
        <f t="shared" si="0"/>
        <v>0.060000000000000005</v>
      </c>
      <c r="H825" s="562">
        <f t="shared" si="0"/>
        <v>0.07</v>
      </c>
      <c r="I825" s="562">
        <f t="shared" si="0"/>
        <v>0.08</v>
      </c>
      <c r="J825" s="562">
        <f t="shared" si="0"/>
        <v>0.09</v>
      </c>
      <c r="K825" s="562">
        <f t="shared" si="0"/>
        <v>0.09999999999999999</v>
      </c>
    </row>
    <row r="826" spans="1:12" ht="13.5" thickBot="1">
      <c r="A826" s="563" t="s">
        <v>318</v>
      </c>
      <c r="B826" s="564">
        <f>NORMSINV(B825/2)</f>
        <v>-2.5758293035489155</v>
      </c>
      <c r="C826" s="565">
        <f aca="true" t="shared" si="1" ref="C826:J826">NORMSINV(C825/2)</f>
        <v>-2.3263478740408488</v>
      </c>
      <c r="D826" s="564">
        <f t="shared" si="1"/>
        <v>-2.1700903775845566</v>
      </c>
      <c r="E826" s="565">
        <f t="shared" si="1"/>
        <v>-2.053748910631824</v>
      </c>
      <c r="F826" s="564">
        <f t="shared" si="1"/>
        <v>-1.9599639845400545</v>
      </c>
      <c r="G826" s="565">
        <f t="shared" si="1"/>
        <v>-1.880793608151254</v>
      </c>
      <c r="H826" s="565">
        <f t="shared" si="1"/>
        <v>-1.8119106729525982</v>
      </c>
      <c r="I826" s="564">
        <f t="shared" si="1"/>
        <v>-1.7506860712521712</v>
      </c>
      <c r="J826" s="565">
        <f t="shared" si="1"/>
        <v>-1.6953977102721378</v>
      </c>
      <c r="K826" s="564">
        <f>NORMSINV(K825/2)</f>
        <v>-1.6448536269514742</v>
      </c>
      <c r="L826" s="77"/>
    </row>
    <row r="827" spans="1:11" ht="13.5" thickTop="1">
      <c r="A827" s="554">
        <v>0.005</v>
      </c>
      <c r="B827" s="559"/>
      <c r="C827" s="555"/>
      <c r="D827" s="559"/>
      <c r="E827" s="555"/>
      <c r="F827" s="559"/>
      <c r="G827" s="555"/>
      <c r="H827" s="555"/>
      <c r="I827" s="559"/>
      <c r="J827" s="555"/>
      <c r="K827" s="559"/>
    </row>
    <row r="828" spans="1:11" ht="12.75">
      <c r="A828" s="554">
        <f>A827+0.005</f>
        <v>0.01</v>
      </c>
      <c r="B828" s="559"/>
      <c r="C828" s="555"/>
      <c r="D828" s="559"/>
      <c r="E828" s="555"/>
      <c r="F828" s="559"/>
      <c r="G828" s="555"/>
      <c r="H828" s="555"/>
      <c r="I828" s="559"/>
      <c r="J828" s="555"/>
      <c r="K828" s="559"/>
    </row>
    <row r="829" spans="1:11" ht="12.75">
      <c r="A829" s="554">
        <f aca="true" t="shared" si="2" ref="A829:A846">A828+0.005</f>
        <v>0.015</v>
      </c>
      <c r="B829" s="559"/>
      <c r="C829" s="555"/>
      <c r="D829" s="559"/>
      <c r="E829" s="555"/>
      <c r="F829" s="559"/>
      <c r="G829" s="555"/>
      <c r="H829" s="555"/>
      <c r="I829" s="559"/>
      <c r="J829" s="555"/>
      <c r="K829" s="559"/>
    </row>
    <row r="830" spans="1:11" ht="12.75">
      <c r="A830" s="554">
        <f t="shared" si="2"/>
        <v>0.02</v>
      </c>
      <c r="B830" s="559"/>
      <c r="C830" s="555"/>
      <c r="D830" s="559"/>
      <c r="E830" s="555"/>
      <c r="F830" s="559"/>
      <c r="G830" s="555"/>
      <c r="H830" s="555"/>
      <c r="I830" s="559"/>
      <c r="J830" s="555"/>
      <c r="K830" s="559"/>
    </row>
    <row r="831" spans="1:11" ht="12.75">
      <c r="A831" s="554">
        <f t="shared" si="2"/>
        <v>0.025</v>
      </c>
      <c r="B831" s="559"/>
      <c r="C831" s="555"/>
      <c r="D831" s="559"/>
      <c r="E831" s="555"/>
      <c r="F831" s="559"/>
      <c r="G831" s="555"/>
      <c r="H831" s="555"/>
      <c r="I831" s="559"/>
      <c r="J831" s="555"/>
      <c r="K831" s="559"/>
    </row>
    <row r="832" spans="1:11" ht="12.75">
      <c r="A832" s="554">
        <f t="shared" si="2"/>
        <v>0.030000000000000002</v>
      </c>
      <c r="B832" s="559"/>
      <c r="C832" s="555"/>
      <c r="D832" s="559"/>
      <c r="E832" s="555"/>
      <c r="F832" s="559"/>
      <c r="G832" s="555"/>
      <c r="H832" s="555"/>
      <c r="I832" s="559"/>
      <c r="J832" s="555"/>
      <c r="K832" s="559"/>
    </row>
    <row r="833" spans="1:11" ht="12.75">
      <c r="A833" s="554">
        <f t="shared" si="2"/>
        <v>0.035</v>
      </c>
      <c r="B833" s="559"/>
      <c r="C833" s="555"/>
      <c r="D833" s="559"/>
      <c r="E833" s="555"/>
      <c r="F833" s="559"/>
      <c r="G833" s="555"/>
      <c r="H833" s="555"/>
      <c r="I833" s="559"/>
      <c r="J833" s="555"/>
      <c r="K833" s="559"/>
    </row>
    <row r="834" spans="1:11" ht="12.75">
      <c r="A834" s="554">
        <f t="shared" si="2"/>
        <v>0.04</v>
      </c>
      <c r="B834" s="559"/>
      <c r="C834" s="555"/>
      <c r="D834" s="559"/>
      <c r="E834" s="555"/>
      <c r="F834" s="559"/>
      <c r="G834" s="555"/>
      <c r="H834" s="555"/>
      <c r="I834" s="559"/>
      <c r="J834" s="555"/>
      <c r="K834" s="559"/>
    </row>
    <row r="835" spans="1:11" ht="12.75">
      <c r="A835" s="554">
        <f t="shared" si="2"/>
        <v>0.045</v>
      </c>
      <c r="B835" s="559"/>
      <c r="C835" s="555"/>
      <c r="D835" s="559"/>
      <c r="E835" s="555"/>
      <c r="F835" s="559"/>
      <c r="G835" s="555"/>
      <c r="H835" s="555"/>
      <c r="I835" s="559"/>
      <c r="J835" s="555"/>
      <c r="K835" s="559"/>
    </row>
    <row r="836" spans="1:11" ht="12.75">
      <c r="A836" s="554">
        <f t="shared" si="2"/>
        <v>0.049999999999999996</v>
      </c>
      <c r="B836" s="559"/>
      <c r="C836" s="555"/>
      <c r="D836" s="559"/>
      <c r="E836" s="555"/>
      <c r="F836" s="571"/>
      <c r="G836" s="555"/>
      <c r="H836" s="555"/>
      <c r="I836" s="559"/>
      <c r="J836" s="555"/>
      <c r="K836" s="559"/>
    </row>
    <row r="837" spans="1:11" ht="12.75">
      <c r="A837" s="554">
        <f t="shared" si="2"/>
        <v>0.05499999999999999</v>
      </c>
      <c r="B837" s="559"/>
      <c r="C837" s="555"/>
      <c r="D837" s="559"/>
      <c r="E837" s="555"/>
      <c r="F837" s="559"/>
      <c r="G837" s="555"/>
      <c r="H837" s="555"/>
      <c r="I837" s="559"/>
      <c r="J837" s="555"/>
      <c r="K837" s="559"/>
    </row>
    <row r="838" spans="1:11" ht="12.75">
      <c r="A838" s="554">
        <f t="shared" si="2"/>
        <v>0.05999999999999999</v>
      </c>
      <c r="B838" s="559"/>
      <c r="C838" s="555"/>
      <c r="D838" s="559"/>
      <c r="E838" s="555"/>
      <c r="F838" s="559"/>
      <c r="G838" s="555"/>
      <c r="H838" s="555"/>
      <c r="I838" s="559"/>
      <c r="J838" s="555"/>
      <c r="K838" s="559"/>
    </row>
    <row r="839" spans="1:11" ht="12.75">
      <c r="A839" s="554">
        <f t="shared" si="2"/>
        <v>0.06499999999999999</v>
      </c>
      <c r="B839" s="559"/>
      <c r="C839" s="555"/>
      <c r="D839" s="559"/>
      <c r="E839" s="555"/>
      <c r="F839" s="559"/>
      <c r="G839" s="555"/>
      <c r="H839" s="555"/>
      <c r="I839" s="559"/>
      <c r="J839" s="555"/>
      <c r="K839" s="559"/>
    </row>
    <row r="840" spans="1:11" ht="12.75">
      <c r="A840" s="554">
        <f t="shared" si="2"/>
        <v>0.06999999999999999</v>
      </c>
      <c r="B840" s="559"/>
      <c r="C840" s="555"/>
      <c r="D840" s="559"/>
      <c r="E840" s="555"/>
      <c r="F840" s="559"/>
      <c r="G840" s="555"/>
      <c r="H840" s="555"/>
      <c r="I840" s="559"/>
      <c r="J840" s="555"/>
      <c r="K840" s="559"/>
    </row>
    <row r="841" spans="1:11" ht="12.75">
      <c r="A841" s="554">
        <f t="shared" si="2"/>
        <v>0.075</v>
      </c>
      <c r="B841" s="559"/>
      <c r="C841" s="555"/>
      <c r="D841" s="559"/>
      <c r="E841" s="555"/>
      <c r="F841" s="559"/>
      <c r="G841" s="555"/>
      <c r="H841" s="555"/>
      <c r="I841" s="559"/>
      <c r="J841" s="555"/>
      <c r="K841" s="559"/>
    </row>
    <row r="842" spans="1:11" ht="12.75">
      <c r="A842" s="554">
        <f t="shared" si="2"/>
        <v>0.08</v>
      </c>
      <c r="B842" s="559"/>
      <c r="C842" s="555"/>
      <c r="D842" s="559"/>
      <c r="E842" s="555"/>
      <c r="F842" s="559"/>
      <c r="G842" s="555"/>
      <c r="H842" s="555"/>
      <c r="I842" s="559"/>
      <c r="J842" s="555"/>
      <c r="K842" s="559"/>
    </row>
    <row r="843" spans="1:12" ht="12.75">
      <c r="A843" s="554">
        <f t="shared" si="2"/>
        <v>0.085</v>
      </c>
      <c r="B843" s="559"/>
      <c r="C843" s="555"/>
      <c r="D843" s="559"/>
      <c r="E843" s="555"/>
      <c r="F843" s="559"/>
      <c r="G843" s="555"/>
      <c r="H843" s="555"/>
      <c r="I843" s="559"/>
      <c r="J843" s="555"/>
      <c r="K843" s="559"/>
      <c r="L843" s="570"/>
    </row>
    <row r="844" spans="1:11" ht="12.75">
      <c r="A844" s="554">
        <f t="shared" si="2"/>
        <v>0.09000000000000001</v>
      </c>
      <c r="B844" s="559"/>
      <c r="C844" s="555"/>
      <c r="D844" s="559"/>
      <c r="E844" s="555"/>
      <c r="F844" s="559"/>
      <c r="G844" s="555"/>
      <c r="H844" s="555"/>
      <c r="I844" s="559"/>
      <c r="J844" s="555"/>
      <c r="K844" s="559"/>
    </row>
    <row r="845" spans="1:11" ht="12.75">
      <c r="A845" s="554">
        <f t="shared" si="2"/>
        <v>0.09500000000000001</v>
      </c>
      <c r="B845" s="559"/>
      <c r="C845" s="555"/>
      <c r="D845" s="559"/>
      <c r="E845" s="555"/>
      <c r="F845" s="559"/>
      <c r="G845" s="555"/>
      <c r="H845" s="555"/>
      <c r="I845" s="559"/>
      <c r="J845" s="555"/>
      <c r="K845" s="559"/>
    </row>
    <row r="846" spans="1:11" ht="12.75">
      <c r="A846" s="556">
        <f t="shared" si="2"/>
        <v>0.10000000000000002</v>
      </c>
      <c r="B846" s="560"/>
      <c r="C846" s="557"/>
      <c r="D846" s="560"/>
      <c r="E846" s="557"/>
      <c r="F846" s="560"/>
      <c r="G846" s="557"/>
      <c r="H846" s="557"/>
      <c r="I846" s="560"/>
      <c r="J846" s="557"/>
      <c r="K846" s="560"/>
    </row>
    <row r="848" spans="8:13" ht="12.75">
      <c r="H848" s="570"/>
      <c r="L848" s="77"/>
      <c r="M848" s="77"/>
    </row>
    <row r="849" ht="12.75">
      <c r="A849" s="13" t="s">
        <v>322</v>
      </c>
    </row>
    <row r="850" spans="1:11" ht="12.75">
      <c r="A850" s="558" t="s">
        <v>320</v>
      </c>
      <c r="B850" s="42"/>
      <c r="C850" s="567"/>
      <c r="D850" s="566"/>
      <c r="E850" s="42"/>
      <c r="F850" s="553"/>
      <c r="G850" s="42"/>
      <c r="H850" s="42"/>
      <c r="I850" s="42"/>
      <c r="J850" s="42"/>
      <c r="K850" s="239"/>
    </row>
    <row r="851" spans="1:11" ht="12.75">
      <c r="A851" s="371" t="s">
        <v>281</v>
      </c>
      <c r="B851" s="15"/>
      <c r="C851" s="569"/>
      <c r="D851" s="15"/>
      <c r="E851" s="15"/>
      <c r="F851" s="15"/>
      <c r="G851" s="15"/>
      <c r="H851" s="15"/>
      <c r="I851" s="15"/>
      <c r="J851" s="15"/>
      <c r="K851" s="114"/>
    </row>
    <row r="852" spans="1:11" ht="12.75">
      <c r="A852" s="14"/>
      <c r="B852" s="670" t="s">
        <v>319</v>
      </c>
      <c r="C852" s="671"/>
      <c r="D852" s="671"/>
      <c r="E852" s="671"/>
      <c r="F852" s="671"/>
      <c r="G852" s="671"/>
      <c r="H852" s="671"/>
      <c r="I852" s="671"/>
      <c r="J852" s="671"/>
      <c r="K852" s="672"/>
    </row>
    <row r="853" spans="1:11" ht="12.75">
      <c r="A853" s="1"/>
      <c r="B853" s="561">
        <v>0.01</v>
      </c>
      <c r="C853" s="562">
        <f>B853+0.01</f>
        <v>0.02</v>
      </c>
      <c r="D853" s="562">
        <f aca="true" t="shared" si="3" ref="D853:J853">C853+0.01</f>
        <v>0.03</v>
      </c>
      <c r="E853" s="562">
        <f t="shared" si="3"/>
        <v>0.04</v>
      </c>
      <c r="F853" s="562">
        <f t="shared" si="3"/>
        <v>0.05</v>
      </c>
      <c r="G853" s="562">
        <f t="shared" si="3"/>
        <v>0.060000000000000005</v>
      </c>
      <c r="H853" s="562">
        <f t="shared" si="3"/>
        <v>0.07</v>
      </c>
      <c r="I853" s="562">
        <f t="shared" si="3"/>
        <v>0.08</v>
      </c>
      <c r="J853" s="562">
        <f t="shared" si="3"/>
        <v>0.09</v>
      </c>
      <c r="K853" s="562">
        <f>J853+0.01</f>
        <v>0.09999999999999999</v>
      </c>
    </row>
    <row r="854" spans="1:11" ht="13.5" thickBot="1">
      <c r="A854" s="563" t="s">
        <v>318</v>
      </c>
      <c r="B854" s="564">
        <f aca="true" t="shared" si="4" ref="B854:K854">NORMSINV(B853/2)</f>
        <v>-2.5758293035489155</v>
      </c>
      <c r="C854" s="565">
        <f t="shared" si="4"/>
        <v>-2.3263478740408488</v>
      </c>
      <c r="D854" s="564">
        <f t="shared" si="4"/>
        <v>-2.1700903775845566</v>
      </c>
      <c r="E854" s="565">
        <f t="shared" si="4"/>
        <v>-2.053748910631824</v>
      </c>
      <c r="F854" s="564">
        <f t="shared" si="4"/>
        <v>-1.9599639845400545</v>
      </c>
      <c r="G854" s="565">
        <f t="shared" si="4"/>
        <v>-1.880793608151254</v>
      </c>
      <c r="H854" s="565">
        <f t="shared" si="4"/>
        <v>-1.8119106729525982</v>
      </c>
      <c r="I854" s="564">
        <f t="shared" si="4"/>
        <v>-1.7506860712521712</v>
      </c>
      <c r="J854" s="565">
        <f t="shared" si="4"/>
        <v>-1.6953977102721378</v>
      </c>
      <c r="K854" s="564">
        <f t="shared" si="4"/>
        <v>-1.6448536269514742</v>
      </c>
    </row>
    <row r="855" spans="1:11" ht="13.5" thickTop="1">
      <c r="A855" s="554">
        <v>0.005</v>
      </c>
      <c r="B855" s="559"/>
      <c r="C855" s="559"/>
      <c r="D855" s="559"/>
      <c r="E855" s="559"/>
      <c r="F855" s="559"/>
      <c r="G855" s="559"/>
      <c r="H855" s="559"/>
      <c r="I855" s="559"/>
      <c r="J855" s="559"/>
      <c r="K855" s="559"/>
    </row>
    <row r="856" spans="1:11" ht="12.75">
      <c r="A856" s="554">
        <f>A855+0.005</f>
        <v>0.01</v>
      </c>
      <c r="B856" s="559"/>
      <c r="C856" s="559"/>
      <c r="D856" s="559"/>
      <c r="E856" s="559"/>
      <c r="F856" s="559"/>
      <c r="G856" s="559"/>
      <c r="H856" s="559"/>
      <c r="I856" s="559"/>
      <c r="J856" s="559"/>
      <c r="K856" s="559"/>
    </row>
    <row r="857" spans="1:11" ht="12.75">
      <c r="A857" s="554">
        <f aca="true" t="shared" si="5" ref="A857:A874">A856+0.005</f>
        <v>0.015</v>
      </c>
      <c r="B857" s="559"/>
      <c r="C857" s="559"/>
      <c r="D857" s="559"/>
      <c r="E857" s="559"/>
      <c r="F857" s="559"/>
      <c r="G857" s="559"/>
      <c r="H857" s="559"/>
      <c r="I857" s="559"/>
      <c r="J857" s="559"/>
      <c r="K857" s="559"/>
    </row>
    <row r="858" spans="1:11" ht="12.75">
      <c r="A858" s="554">
        <f t="shared" si="5"/>
        <v>0.02</v>
      </c>
      <c r="B858" s="559"/>
      <c r="C858" s="559"/>
      <c r="D858" s="559"/>
      <c r="E858" s="559"/>
      <c r="F858" s="559"/>
      <c r="G858" s="559"/>
      <c r="H858" s="559"/>
      <c r="I858" s="559"/>
      <c r="J858" s="559"/>
      <c r="K858" s="559"/>
    </row>
    <row r="859" spans="1:11" ht="12.75">
      <c r="A859" s="554">
        <f t="shared" si="5"/>
        <v>0.025</v>
      </c>
      <c r="B859" s="559"/>
      <c r="C859" s="559"/>
      <c r="D859" s="559"/>
      <c r="E859" s="559"/>
      <c r="F859" s="559"/>
      <c r="G859" s="559"/>
      <c r="H859" s="559"/>
      <c r="I859" s="559"/>
      <c r="J859" s="559"/>
      <c r="K859" s="559"/>
    </row>
    <row r="860" spans="1:11" ht="12.75">
      <c r="A860" s="554">
        <f t="shared" si="5"/>
        <v>0.030000000000000002</v>
      </c>
      <c r="B860" s="559"/>
      <c r="C860" s="559"/>
      <c r="D860" s="559"/>
      <c r="E860" s="559"/>
      <c r="F860" s="559"/>
      <c r="G860" s="559"/>
      <c r="H860" s="559"/>
      <c r="I860" s="559"/>
      <c r="J860" s="559"/>
      <c r="K860" s="559"/>
    </row>
    <row r="861" spans="1:11" ht="12.75">
      <c r="A861" s="554">
        <f t="shared" si="5"/>
        <v>0.035</v>
      </c>
      <c r="B861" s="559"/>
      <c r="C861" s="559"/>
      <c r="D861" s="559"/>
      <c r="E861" s="559"/>
      <c r="F861" s="559"/>
      <c r="G861" s="559"/>
      <c r="H861" s="559"/>
      <c r="I861" s="559"/>
      <c r="J861" s="559"/>
      <c r="K861" s="559"/>
    </row>
    <row r="862" spans="1:11" ht="12.75">
      <c r="A862" s="554">
        <f t="shared" si="5"/>
        <v>0.04</v>
      </c>
      <c r="B862" s="559"/>
      <c r="C862" s="559"/>
      <c r="D862" s="559"/>
      <c r="E862" s="559"/>
      <c r="F862" s="559"/>
      <c r="G862" s="559"/>
      <c r="H862" s="559"/>
      <c r="I862" s="559"/>
      <c r="J862" s="559"/>
      <c r="K862" s="559"/>
    </row>
    <row r="863" spans="1:11" ht="12.75">
      <c r="A863" s="554">
        <f t="shared" si="5"/>
        <v>0.045</v>
      </c>
      <c r="B863" s="559"/>
      <c r="C863" s="559"/>
      <c r="D863" s="559"/>
      <c r="E863" s="559"/>
      <c r="F863" s="559"/>
      <c r="G863" s="559"/>
      <c r="H863" s="559"/>
      <c r="I863" s="559"/>
      <c r="J863" s="559"/>
      <c r="K863" s="559"/>
    </row>
    <row r="864" spans="1:11" ht="12.75">
      <c r="A864" s="554">
        <f t="shared" si="5"/>
        <v>0.049999999999999996</v>
      </c>
      <c r="B864" s="559"/>
      <c r="C864" s="559"/>
      <c r="D864" s="559"/>
      <c r="E864" s="559"/>
      <c r="F864" s="571"/>
      <c r="G864" s="559"/>
      <c r="H864" s="559"/>
      <c r="I864" s="559"/>
      <c r="J864" s="559"/>
      <c r="K864" s="559"/>
    </row>
    <row r="865" spans="1:11" ht="12.75">
      <c r="A865" s="554">
        <f t="shared" si="5"/>
        <v>0.05499999999999999</v>
      </c>
      <c r="B865" s="559"/>
      <c r="C865" s="559"/>
      <c r="D865" s="559"/>
      <c r="E865" s="559"/>
      <c r="F865" s="559"/>
      <c r="G865" s="559"/>
      <c r="H865" s="559"/>
      <c r="I865" s="559"/>
      <c r="J865" s="559"/>
      <c r="K865" s="559"/>
    </row>
    <row r="866" spans="1:11" ht="12.75">
      <c r="A866" s="554">
        <f t="shared" si="5"/>
        <v>0.05999999999999999</v>
      </c>
      <c r="B866" s="559"/>
      <c r="C866" s="559"/>
      <c r="D866" s="559"/>
      <c r="E866" s="559"/>
      <c r="F866" s="559"/>
      <c r="G866" s="559"/>
      <c r="H866" s="559"/>
      <c r="I866" s="559"/>
      <c r="J866" s="559"/>
      <c r="K866" s="559"/>
    </row>
    <row r="867" spans="1:11" ht="12.75">
      <c r="A867" s="554">
        <f t="shared" si="5"/>
        <v>0.06499999999999999</v>
      </c>
      <c r="B867" s="559"/>
      <c r="C867" s="559"/>
      <c r="D867" s="559"/>
      <c r="E867" s="559"/>
      <c r="F867" s="559"/>
      <c r="G867" s="559"/>
      <c r="H867" s="559"/>
      <c r="I867" s="559"/>
      <c r="J867" s="559"/>
      <c r="K867" s="559"/>
    </row>
    <row r="868" spans="1:11" ht="12.75">
      <c r="A868" s="554">
        <f t="shared" si="5"/>
        <v>0.06999999999999999</v>
      </c>
      <c r="B868" s="559"/>
      <c r="C868" s="559"/>
      <c r="D868" s="559"/>
      <c r="E868" s="559"/>
      <c r="F868" s="559"/>
      <c r="G868" s="559"/>
      <c r="H868" s="559"/>
      <c r="I868" s="559"/>
      <c r="J868" s="559"/>
      <c r="K868" s="559"/>
    </row>
    <row r="869" spans="1:11" ht="12.75">
      <c r="A869" s="554">
        <f t="shared" si="5"/>
        <v>0.075</v>
      </c>
      <c r="B869" s="559"/>
      <c r="C869" s="559"/>
      <c r="D869" s="559"/>
      <c r="E869" s="559"/>
      <c r="F869" s="559"/>
      <c r="G869" s="559"/>
      <c r="H869" s="559"/>
      <c r="I869" s="559"/>
      <c r="J869" s="559"/>
      <c r="K869" s="559"/>
    </row>
    <row r="870" spans="1:11" ht="12.75">
      <c r="A870" s="554">
        <f t="shared" si="5"/>
        <v>0.08</v>
      </c>
      <c r="B870" s="559"/>
      <c r="C870" s="559"/>
      <c r="D870" s="559"/>
      <c r="E870" s="559"/>
      <c r="F870" s="559"/>
      <c r="G870" s="559"/>
      <c r="H870" s="559"/>
      <c r="I870" s="559"/>
      <c r="J870" s="559"/>
      <c r="K870" s="559"/>
    </row>
    <row r="871" spans="1:11" ht="12.75">
      <c r="A871" s="554">
        <f t="shared" si="5"/>
        <v>0.085</v>
      </c>
      <c r="B871" s="559"/>
      <c r="C871" s="559"/>
      <c r="D871" s="559"/>
      <c r="E871" s="559"/>
      <c r="F871" s="559"/>
      <c r="G871" s="559"/>
      <c r="H871" s="559"/>
      <c r="I871" s="559"/>
      <c r="J871" s="559"/>
      <c r="K871" s="559"/>
    </row>
    <row r="872" spans="1:11" ht="12.75">
      <c r="A872" s="554">
        <f t="shared" si="5"/>
        <v>0.09000000000000001</v>
      </c>
      <c r="B872" s="559"/>
      <c r="C872" s="559"/>
      <c r="D872" s="559"/>
      <c r="E872" s="559"/>
      <c r="F872" s="559"/>
      <c r="G872" s="559"/>
      <c r="H872" s="559"/>
      <c r="I872" s="559"/>
      <c r="J872" s="559"/>
      <c r="K872" s="559"/>
    </row>
    <row r="873" spans="1:11" ht="12.75">
      <c r="A873" s="554">
        <f t="shared" si="5"/>
        <v>0.09500000000000001</v>
      </c>
      <c r="B873" s="559"/>
      <c r="C873" s="559"/>
      <c r="D873" s="559"/>
      <c r="E873" s="559"/>
      <c r="F873" s="559"/>
      <c r="G873" s="559"/>
      <c r="H873" s="559"/>
      <c r="I873" s="559"/>
      <c r="J873" s="559"/>
      <c r="K873" s="559"/>
    </row>
    <row r="874" spans="1:11" ht="12.75">
      <c r="A874" s="556">
        <f t="shared" si="5"/>
        <v>0.10000000000000002</v>
      </c>
      <c r="B874" s="560"/>
      <c r="C874" s="560"/>
      <c r="D874" s="560"/>
      <c r="E874" s="560"/>
      <c r="F874" s="560"/>
      <c r="G874" s="560"/>
      <c r="H874" s="560"/>
      <c r="I874" s="560"/>
      <c r="J874" s="560"/>
      <c r="K874" s="560"/>
    </row>
    <row r="876" ht="12.75">
      <c r="A876" s="572" t="s">
        <v>260</v>
      </c>
    </row>
    <row r="877" spans="5:7" ht="12.75">
      <c r="E877" s="77"/>
      <c r="G877" s="552"/>
    </row>
  </sheetData>
  <mergeCells count="31">
    <mergeCell ref="B824:K824"/>
    <mergeCell ref="B852:K852"/>
    <mergeCell ref="B564:D564"/>
    <mergeCell ref="B595:D595"/>
    <mergeCell ref="B617:D617"/>
    <mergeCell ref="B660:D660"/>
    <mergeCell ref="B482:D482"/>
    <mergeCell ref="B512:D512"/>
    <mergeCell ref="B523:D523"/>
    <mergeCell ref="B555:D555"/>
    <mergeCell ref="I413:J413"/>
    <mergeCell ref="C425:E425"/>
    <mergeCell ref="C448:E448"/>
    <mergeCell ref="B472:D472"/>
    <mergeCell ref="B363:C363"/>
    <mergeCell ref="G384:H384"/>
    <mergeCell ref="G405:H405"/>
    <mergeCell ref="B413:C413"/>
    <mergeCell ref="E413:F413"/>
    <mergeCell ref="B328:C328"/>
    <mergeCell ref="B339:C339"/>
    <mergeCell ref="B347:C347"/>
    <mergeCell ref="B355:C355"/>
    <mergeCell ref="B196:C196"/>
    <mergeCell ref="E303:F303"/>
    <mergeCell ref="B311:D311"/>
    <mergeCell ref="E311:F311"/>
    <mergeCell ref="D80:F80"/>
    <mergeCell ref="A104:B104"/>
    <mergeCell ref="C104:E104"/>
    <mergeCell ref="F104:G104"/>
  </mergeCells>
  <printOptions/>
  <pageMargins left="0.75" right="0.75" top="1" bottom="1" header="0" footer="0"/>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O29"/>
  <sheetViews>
    <sheetView workbookViewId="0" topLeftCell="A1">
      <selection activeCell="D34" sqref="D34"/>
    </sheetView>
  </sheetViews>
  <sheetFormatPr defaultColWidth="11.421875" defaultRowHeight="12.75"/>
  <sheetData>
    <row r="1" spans="1:15" s="95" customFormat="1" ht="11.25">
      <c r="A1" s="191"/>
      <c r="B1" s="281"/>
      <c r="C1" s="128" t="s">
        <v>4</v>
      </c>
      <c r="D1" s="59" t="s">
        <v>5</v>
      </c>
      <c r="E1" s="128" t="s">
        <v>0</v>
      </c>
      <c r="F1" s="669" t="s">
        <v>6</v>
      </c>
      <c r="G1" s="653"/>
      <c r="H1" s="653"/>
      <c r="I1" s="654"/>
      <c r="J1" s="669" t="s">
        <v>7</v>
      </c>
      <c r="K1" s="653"/>
      <c r="L1" s="654"/>
      <c r="M1" s="669" t="s">
        <v>8</v>
      </c>
      <c r="N1" s="653"/>
      <c r="O1" s="654"/>
    </row>
    <row r="2" spans="1:15" s="95" customFormat="1" ht="12" thickBot="1">
      <c r="A2" s="192" t="s">
        <v>1</v>
      </c>
      <c r="B2" s="159" t="s">
        <v>2</v>
      </c>
      <c r="C2" s="282" t="s">
        <v>9</v>
      </c>
      <c r="D2" s="283" t="s">
        <v>10</v>
      </c>
      <c r="E2" s="282" t="s">
        <v>11</v>
      </c>
      <c r="F2" s="284" t="s">
        <v>12</v>
      </c>
      <c r="G2" s="156" t="s">
        <v>13</v>
      </c>
      <c r="H2" s="160" t="s">
        <v>14</v>
      </c>
      <c r="I2" s="156" t="s">
        <v>15</v>
      </c>
      <c r="J2" s="160" t="s">
        <v>16</v>
      </c>
      <c r="K2" s="156" t="s">
        <v>17</v>
      </c>
      <c r="L2" s="160" t="s">
        <v>18</v>
      </c>
      <c r="M2" s="156" t="s">
        <v>19</v>
      </c>
      <c r="N2" s="160" t="s">
        <v>20</v>
      </c>
      <c r="O2" s="157" t="s">
        <v>21</v>
      </c>
    </row>
    <row r="3" spans="1:15" ht="13.5" thickTop="1">
      <c r="A3">
        <v>1</v>
      </c>
      <c r="B3" s="600"/>
      <c r="C3" s="600"/>
      <c r="D3" s="600"/>
      <c r="E3" s="600"/>
      <c r="F3" s="600"/>
      <c r="G3" s="600"/>
      <c r="H3" s="600"/>
      <c r="I3" s="600"/>
      <c r="J3" s="600"/>
      <c r="K3" s="600"/>
      <c r="L3" s="600"/>
      <c r="M3" s="600"/>
      <c r="N3" s="600"/>
      <c r="O3" s="600"/>
    </row>
    <row r="4" spans="1:15" ht="12.75">
      <c r="A4">
        <v>2</v>
      </c>
      <c r="B4" s="600"/>
      <c r="C4" s="600"/>
      <c r="D4" s="600"/>
      <c r="E4" s="600"/>
      <c r="F4" s="600"/>
      <c r="G4" s="600"/>
      <c r="H4" s="600"/>
      <c r="I4" s="600"/>
      <c r="J4" s="600"/>
      <c r="K4" s="600"/>
      <c r="L4" s="600"/>
      <c r="M4" s="600"/>
      <c r="N4" s="600"/>
      <c r="O4" s="600"/>
    </row>
    <row r="5" spans="1:15" ht="12.75">
      <c r="A5">
        <v>3</v>
      </c>
      <c r="B5" s="600"/>
      <c r="C5" s="600"/>
      <c r="D5" s="600"/>
      <c r="E5" s="600"/>
      <c r="F5" s="600"/>
      <c r="G5" s="600"/>
      <c r="H5" s="600"/>
      <c r="I5" s="600"/>
      <c r="J5" s="600"/>
      <c r="K5" s="600"/>
      <c r="L5" s="600"/>
      <c r="M5" s="600"/>
      <c r="N5" s="600"/>
      <c r="O5" s="600"/>
    </row>
    <row r="6" spans="1:15" ht="12.75">
      <c r="A6">
        <v>4</v>
      </c>
      <c r="B6" s="600"/>
      <c r="C6" s="600"/>
      <c r="D6" s="600"/>
      <c r="E6" s="600"/>
      <c r="F6" s="600"/>
      <c r="G6" s="600"/>
      <c r="H6" s="600"/>
      <c r="I6" s="600"/>
      <c r="J6" s="600"/>
      <c r="K6" s="600"/>
      <c r="L6" s="600"/>
      <c r="M6" s="600"/>
      <c r="N6" s="600"/>
      <c r="O6" s="600"/>
    </row>
    <row r="7" spans="1:15" ht="12.75">
      <c r="A7">
        <v>5</v>
      </c>
      <c r="B7" s="600"/>
      <c r="C7" s="600"/>
      <c r="D7" s="600"/>
      <c r="E7" s="600"/>
      <c r="F7" s="600"/>
      <c r="G7" s="600"/>
      <c r="H7" s="600"/>
      <c r="I7" s="600"/>
      <c r="J7" s="600"/>
      <c r="K7" s="600"/>
      <c r="L7" s="600"/>
      <c r="M7" s="600"/>
      <c r="N7" s="600"/>
      <c r="O7" s="600"/>
    </row>
    <row r="8" spans="1:15" ht="12.75">
      <c r="A8">
        <v>6</v>
      </c>
      <c r="B8" s="600"/>
      <c r="C8" s="600"/>
      <c r="D8" s="600"/>
      <c r="E8" s="600"/>
      <c r="F8" s="600"/>
      <c r="G8" s="600"/>
      <c r="H8" s="600"/>
      <c r="I8" s="600"/>
      <c r="J8" s="600"/>
      <c r="K8" s="600"/>
      <c r="L8" s="600"/>
      <c r="M8" s="600"/>
      <c r="N8" s="600"/>
      <c r="O8" s="600"/>
    </row>
    <row r="9" spans="1:15" ht="12.75">
      <c r="A9">
        <v>7</v>
      </c>
      <c r="B9" s="600"/>
      <c r="C9" s="600"/>
      <c r="D9" s="600"/>
      <c r="E9" s="600"/>
      <c r="F9" s="600"/>
      <c r="G9" s="600"/>
      <c r="H9" s="600"/>
      <c r="I9" s="600"/>
      <c r="J9" s="600"/>
      <c r="K9" s="600"/>
      <c r="L9" s="600"/>
      <c r="M9" s="600"/>
      <c r="N9" s="600"/>
      <c r="O9" s="600"/>
    </row>
    <row r="10" spans="1:15" ht="12.75">
      <c r="A10">
        <v>8</v>
      </c>
      <c r="B10" s="600"/>
      <c r="C10" s="600"/>
      <c r="D10" s="600"/>
      <c r="E10" s="600"/>
      <c r="F10" s="600"/>
      <c r="G10" s="600"/>
      <c r="H10" s="600"/>
      <c r="I10" s="600"/>
      <c r="J10" s="600"/>
      <c r="K10" s="600"/>
      <c r="L10" s="600"/>
      <c r="M10" s="600"/>
      <c r="N10" s="600"/>
      <c r="O10" s="600"/>
    </row>
    <row r="11" spans="1:15" ht="12.75">
      <c r="A11">
        <v>9</v>
      </c>
      <c r="B11" s="600"/>
      <c r="C11" s="600"/>
      <c r="D11" s="600"/>
      <c r="E11" s="600"/>
      <c r="F11" s="600"/>
      <c r="G11" s="600"/>
      <c r="H11" s="600"/>
      <c r="I11" s="600"/>
      <c r="J11" s="600"/>
      <c r="K11" s="600"/>
      <c r="L11" s="600"/>
      <c r="M11" s="600"/>
      <c r="N11" s="600"/>
      <c r="O11" s="600"/>
    </row>
    <row r="12" spans="1:15" ht="12.75">
      <c r="A12">
        <v>10</v>
      </c>
      <c r="B12" s="600"/>
      <c r="C12" s="600"/>
      <c r="D12" s="600"/>
      <c r="E12" s="600"/>
      <c r="F12" s="600"/>
      <c r="G12" s="600"/>
      <c r="H12" s="600"/>
      <c r="I12" s="600"/>
      <c r="J12" s="600"/>
      <c r="K12" s="600"/>
      <c r="L12" s="600"/>
      <c r="M12" s="600"/>
      <c r="N12" s="600"/>
      <c r="O12" s="600"/>
    </row>
    <row r="13" spans="1:15" ht="12.75">
      <c r="A13">
        <v>11</v>
      </c>
      <c r="B13" s="600"/>
      <c r="C13" s="600"/>
      <c r="D13" s="600"/>
      <c r="E13" s="600"/>
      <c r="F13" s="600"/>
      <c r="G13" s="600"/>
      <c r="H13" s="600"/>
      <c r="I13" s="600"/>
      <c r="J13" s="600"/>
      <c r="K13" s="600"/>
      <c r="L13" s="600"/>
      <c r="M13" s="600"/>
      <c r="N13" s="600"/>
      <c r="O13" s="600"/>
    </row>
    <row r="14" spans="1:15" ht="12.75">
      <c r="A14">
        <v>12</v>
      </c>
      <c r="B14" s="600"/>
      <c r="C14" s="600"/>
      <c r="D14" s="600"/>
      <c r="E14" s="600"/>
      <c r="F14" s="600"/>
      <c r="G14" s="600"/>
      <c r="H14" s="600"/>
      <c r="I14" s="600"/>
      <c r="J14" s="600"/>
      <c r="K14" s="600"/>
      <c r="L14" s="600"/>
      <c r="M14" s="600"/>
      <c r="N14" s="600"/>
      <c r="O14" s="600"/>
    </row>
    <row r="15" spans="1:15" ht="12.75">
      <c r="A15">
        <v>13</v>
      </c>
      <c r="B15" s="600"/>
      <c r="C15" s="600"/>
      <c r="D15" s="600"/>
      <c r="E15" s="600"/>
      <c r="F15" s="600"/>
      <c r="G15" s="600"/>
      <c r="H15" s="600"/>
      <c r="I15" s="600"/>
      <c r="J15" s="600"/>
      <c r="K15" s="600"/>
      <c r="L15" s="600"/>
      <c r="M15" s="600"/>
      <c r="N15" s="600"/>
      <c r="O15" s="600"/>
    </row>
    <row r="16" spans="1:15" ht="12.75">
      <c r="A16">
        <v>14</v>
      </c>
      <c r="B16" s="600"/>
      <c r="C16" s="600"/>
      <c r="D16" s="600"/>
      <c r="E16" s="600"/>
      <c r="F16" s="600"/>
      <c r="G16" s="600"/>
      <c r="H16" s="600"/>
      <c r="I16" s="600"/>
      <c r="J16" s="600"/>
      <c r="K16" s="600"/>
      <c r="L16" s="600"/>
      <c r="M16" s="600"/>
      <c r="N16" s="600"/>
      <c r="O16" s="600"/>
    </row>
    <row r="17" spans="1:15" ht="12.75">
      <c r="A17">
        <v>15</v>
      </c>
      <c r="B17" s="600"/>
      <c r="C17" s="600"/>
      <c r="D17" s="600"/>
      <c r="E17" s="600"/>
      <c r="F17" s="600"/>
      <c r="G17" s="600"/>
      <c r="H17" s="600"/>
      <c r="I17" s="600"/>
      <c r="J17" s="600"/>
      <c r="K17" s="600"/>
      <c r="L17" s="600"/>
      <c r="M17" s="600"/>
      <c r="N17" s="600"/>
      <c r="O17" s="600"/>
    </row>
    <row r="18" spans="1:15" ht="12.75">
      <c r="A18">
        <v>16</v>
      </c>
      <c r="B18" s="600"/>
      <c r="C18" s="600"/>
      <c r="D18" s="600"/>
      <c r="E18" s="600"/>
      <c r="F18" s="600"/>
      <c r="G18" s="600"/>
      <c r="H18" s="600"/>
      <c r="I18" s="600"/>
      <c r="J18" s="600"/>
      <c r="K18" s="600"/>
      <c r="L18" s="600"/>
      <c r="M18" s="600"/>
      <c r="N18" s="600"/>
      <c r="O18" s="600"/>
    </row>
    <row r="19" spans="1:15" ht="12.75">
      <c r="A19">
        <v>17</v>
      </c>
      <c r="B19" s="600"/>
      <c r="C19" s="600"/>
      <c r="D19" s="600"/>
      <c r="E19" s="600"/>
      <c r="F19" s="600"/>
      <c r="G19" s="600"/>
      <c r="H19" s="600"/>
      <c r="I19" s="600"/>
      <c r="J19" s="600"/>
      <c r="K19" s="600"/>
      <c r="L19" s="600"/>
      <c r="M19" s="600"/>
      <c r="N19" s="600"/>
      <c r="O19" s="600"/>
    </row>
    <row r="20" spans="1:15" ht="12.75">
      <c r="A20">
        <v>18</v>
      </c>
      <c r="B20" s="600"/>
      <c r="C20" s="600"/>
      <c r="D20" s="600"/>
      <c r="E20" s="600"/>
      <c r="F20" s="600"/>
      <c r="G20" s="600"/>
      <c r="H20" s="600"/>
      <c r="I20" s="600"/>
      <c r="J20" s="600"/>
      <c r="K20" s="600"/>
      <c r="L20" s="600"/>
      <c r="M20" s="600"/>
      <c r="N20" s="600"/>
      <c r="O20" s="600"/>
    </row>
    <row r="21" spans="1:15" ht="12.75">
      <c r="A21">
        <v>19</v>
      </c>
      <c r="B21" s="600"/>
      <c r="C21" s="600"/>
      <c r="D21" s="600"/>
      <c r="E21" s="600"/>
      <c r="F21" s="600"/>
      <c r="G21" s="600"/>
      <c r="H21" s="600"/>
      <c r="I21" s="600"/>
      <c r="J21" s="600"/>
      <c r="K21" s="600"/>
      <c r="L21" s="600"/>
      <c r="M21" s="600"/>
      <c r="N21" s="600"/>
      <c r="O21" s="600"/>
    </row>
    <row r="22" spans="1:15" ht="12.75">
      <c r="A22">
        <v>20</v>
      </c>
      <c r="B22" s="600"/>
      <c r="C22" s="600"/>
      <c r="D22" s="600"/>
      <c r="E22" s="600"/>
      <c r="F22" s="600"/>
      <c r="G22" s="600"/>
      <c r="H22" s="600"/>
      <c r="I22" s="600"/>
      <c r="J22" s="600"/>
      <c r="K22" s="600"/>
      <c r="L22" s="600"/>
      <c r="M22" s="600"/>
      <c r="N22" s="600"/>
      <c r="O22" s="600"/>
    </row>
    <row r="23" spans="1:15" ht="12.75">
      <c r="A23">
        <v>21</v>
      </c>
      <c r="B23" s="600"/>
      <c r="C23" s="600"/>
      <c r="D23" s="600"/>
      <c r="E23" s="600"/>
      <c r="F23" s="600"/>
      <c r="G23" s="600"/>
      <c r="H23" s="600"/>
      <c r="I23" s="600"/>
      <c r="J23" s="600"/>
      <c r="K23" s="600"/>
      <c r="L23" s="600"/>
      <c r="M23" s="600"/>
      <c r="N23" s="600"/>
      <c r="O23" s="600"/>
    </row>
    <row r="24" spans="1:15" ht="12.75">
      <c r="A24">
        <v>22</v>
      </c>
      <c r="B24" s="600"/>
      <c r="C24" s="600"/>
      <c r="D24" s="600"/>
      <c r="E24" s="600"/>
      <c r="F24" s="600"/>
      <c r="G24" s="600"/>
      <c r="H24" s="600"/>
      <c r="I24" s="600"/>
      <c r="J24" s="600"/>
      <c r="K24" s="600"/>
      <c r="L24" s="600"/>
      <c r="M24" s="600"/>
      <c r="N24" s="600"/>
      <c r="O24" s="600"/>
    </row>
    <row r="25" spans="1:15" ht="12.75">
      <c r="A25">
        <v>23</v>
      </c>
      <c r="B25" s="600"/>
      <c r="C25" s="600"/>
      <c r="D25" s="600"/>
      <c r="E25" s="600"/>
      <c r="F25" s="600"/>
      <c r="G25" s="600"/>
      <c r="H25" s="600"/>
      <c r="I25" s="600"/>
      <c r="J25" s="600"/>
      <c r="K25" s="600"/>
      <c r="L25" s="600"/>
      <c r="M25" s="600"/>
      <c r="N25" s="600"/>
      <c r="O25" s="600"/>
    </row>
    <row r="26" spans="1:15" ht="12.75">
      <c r="A26">
        <v>24</v>
      </c>
      <c r="B26" s="600"/>
      <c r="C26" s="600"/>
      <c r="D26" s="600"/>
      <c r="E26" s="600"/>
      <c r="F26" s="600"/>
      <c r="G26" s="600"/>
      <c r="H26" s="600"/>
      <c r="I26" s="600"/>
      <c r="J26" s="600"/>
      <c r="K26" s="600"/>
      <c r="L26" s="600"/>
      <c r="M26" s="600"/>
      <c r="N26" s="600"/>
      <c r="O26" s="600"/>
    </row>
    <row r="27" spans="1:15" ht="12.75">
      <c r="A27">
        <v>25</v>
      </c>
      <c r="B27" s="600"/>
      <c r="C27" s="600"/>
      <c r="D27" s="600"/>
      <c r="E27" s="600"/>
      <c r="F27" s="600"/>
      <c r="G27" s="600"/>
      <c r="H27" s="600"/>
      <c r="I27" s="600"/>
      <c r="J27" s="600"/>
      <c r="K27" s="600"/>
      <c r="L27" s="600"/>
      <c r="M27" s="600"/>
      <c r="N27" s="600"/>
      <c r="O27" s="600"/>
    </row>
    <row r="28" spans="1:15" ht="12.75">
      <c r="A28">
        <v>26</v>
      </c>
      <c r="B28" s="600"/>
      <c r="C28" s="600"/>
      <c r="D28" s="600"/>
      <c r="E28" s="600"/>
      <c r="F28" s="600"/>
      <c r="G28" s="600"/>
      <c r="H28" s="600"/>
      <c r="I28" s="600"/>
      <c r="J28" s="600"/>
      <c r="K28" s="600"/>
      <c r="L28" s="600"/>
      <c r="M28" s="600"/>
      <c r="N28" s="600"/>
      <c r="O28" s="600"/>
    </row>
    <row r="29" spans="1:15" ht="12.75">
      <c r="A29">
        <v>27</v>
      </c>
      <c r="B29" s="600"/>
      <c r="C29" s="600"/>
      <c r="D29" s="600"/>
      <c r="E29" s="600"/>
      <c r="F29" s="600"/>
      <c r="G29" s="600"/>
      <c r="H29" s="600"/>
      <c r="I29" s="600"/>
      <c r="J29" s="600"/>
      <c r="K29" s="600"/>
      <c r="L29" s="600"/>
      <c r="M29" s="600"/>
      <c r="N29" s="600"/>
      <c r="O29" s="600"/>
    </row>
  </sheetData>
  <mergeCells count="3">
    <mergeCell ref="F1:I1"/>
    <mergeCell ref="J1:L1"/>
    <mergeCell ref="M1:O1"/>
  </mergeCells>
  <printOptions/>
  <pageMargins left="0.75" right="0.75" top="1" bottom="1" header="0" footer="0"/>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0:T877"/>
  <sheetViews>
    <sheetView workbookViewId="0" topLeftCell="A690">
      <selection activeCell="F702" sqref="F702"/>
    </sheetView>
  </sheetViews>
  <sheetFormatPr defaultColWidth="11.421875" defaultRowHeight="12.75"/>
  <cols>
    <col min="1" max="1" width="20.7109375" style="0" customWidth="1"/>
  </cols>
  <sheetData>
    <row r="10" spans="1:20" ht="12.75">
      <c r="A10" s="200" t="s">
        <v>250</v>
      </c>
      <c r="B10" s="13"/>
      <c r="O10" s="15"/>
      <c r="P10" s="15"/>
      <c r="Q10" s="15"/>
      <c r="T10" s="15"/>
    </row>
    <row r="11" spans="1:20" ht="13.5" thickBot="1">
      <c r="A11" s="335" t="s">
        <v>36</v>
      </c>
      <c r="B11" s="338" t="s">
        <v>9</v>
      </c>
      <c r="C11" s="339" t="s">
        <v>10</v>
      </c>
      <c r="D11" s="338" t="s">
        <v>11</v>
      </c>
      <c r="E11" s="339" t="s">
        <v>12</v>
      </c>
      <c r="F11" s="338" t="s">
        <v>13</v>
      </c>
      <c r="G11" s="339" t="s">
        <v>14</v>
      </c>
      <c r="H11" s="338" t="s">
        <v>15</v>
      </c>
      <c r="I11" s="339" t="s">
        <v>16</v>
      </c>
      <c r="J11" s="338" t="s">
        <v>17</v>
      </c>
      <c r="K11" s="339" t="s">
        <v>18</v>
      </c>
      <c r="L11" s="338" t="s">
        <v>19</v>
      </c>
      <c r="M11" s="339" t="s">
        <v>20</v>
      </c>
      <c r="N11" s="338" t="s">
        <v>21</v>
      </c>
      <c r="O11" s="329"/>
      <c r="Q11" s="329"/>
      <c r="T11" s="329"/>
    </row>
    <row r="12" spans="1:20" ht="13.5" thickTop="1">
      <c r="A12" s="336"/>
      <c r="B12" s="332"/>
      <c r="C12" s="32"/>
      <c r="D12" s="332"/>
      <c r="E12" s="32"/>
      <c r="F12" s="332"/>
      <c r="G12" s="32"/>
      <c r="H12" s="332"/>
      <c r="I12" s="32"/>
      <c r="J12" s="332"/>
      <c r="K12" s="32"/>
      <c r="L12" s="332"/>
      <c r="M12" s="32"/>
      <c r="N12" s="332"/>
      <c r="O12" s="32"/>
      <c r="P12" s="32"/>
      <c r="Q12" s="32"/>
      <c r="T12" s="32"/>
    </row>
    <row r="13" spans="1:20" ht="12.75">
      <c r="A13" s="336" t="s">
        <v>22</v>
      </c>
      <c r="B13" s="333">
        <v>0.5112781954887218</v>
      </c>
      <c r="C13" s="330">
        <v>53.06015037593985</v>
      </c>
      <c r="D13" s="333">
        <v>3.4481428571428565</v>
      </c>
      <c r="E13" s="330">
        <v>0.18796992481203006</v>
      </c>
      <c r="F13" s="333">
        <v>0.30451127819548873</v>
      </c>
      <c r="G13" s="330">
        <v>0.31203007518796994</v>
      </c>
      <c r="H13" s="333">
        <v>0.19548872180451127</v>
      </c>
      <c r="I13" s="330">
        <v>0.11278195488721804</v>
      </c>
      <c r="J13" s="333">
        <v>0.7180451127819549</v>
      </c>
      <c r="K13" s="330">
        <v>0.16917293233082706</v>
      </c>
      <c r="L13" s="333">
        <v>0.3308270676691729</v>
      </c>
      <c r="M13" s="330">
        <v>0.4699248120300752</v>
      </c>
      <c r="N13" s="333">
        <v>0.19924812030075187</v>
      </c>
      <c r="O13" s="15"/>
      <c r="P13" s="32"/>
      <c r="Q13" s="15"/>
      <c r="T13" s="15"/>
    </row>
    <row r="14" spans="1:17" ht="12.75">
      <c r="A14" s="336" t="s">
        <v>23</v>
      </c>
      <c r="B14" s="333">
        <v>0.03070694115536317</v>
      </c>
      <c r="C14" s="330">
        <v>0.09491524274435727</v>
      </c>
      <c r="D14" s="333">
        <v>0.03304800254178991</v>
      </c>
      <c r="E14" s="330">
        <v>0.023999782402959316</v>
      </c>
      <c r="F14" s="333">
        <v>0.028269869262216023</v>
      </c>
      <c r="G14" s="330">
        <v>0.02846164631246227</v>
      </c>
      <c r="H14" s="333">
        <v>0.024361497727275236</v>
      </c>
      <c r="I14" s="330">
        <v>0.019431756301927335</v>
      </c>
      <c r="J14" s="333">
        <v>0.027640299317926095</v>
      </c>
      <c r="K14" s="330">
        <v>0.02303020586652238</v>
      </c>
      <c r="L14" s="333">
        <v>0.028903255608660812</v>
      </c>
      <c r="M14" s="330">
        <v>0.030659141458556045</v>
      </c>
      <c r="N14" s="333">
        <v>0.024537096048241686</v>
      </c>
      <c r="O14" s="15"/>
      <c r="P14" s="32"/>
      <c r="Q14" s="15"/>
    </row>
    <row r="15" spans="1:17" ht="12.75">
      <c r="A15" s="336" t="s">
        <v>24</v>
      </c>
      <c r="B15" s="333">
        <v>1</v>
      </c>
      <c r="C15" s="330">
        <v>53</v>
      </c>
      <c r="D15" s="333">
        <v>3.4405</v>
      </c>
      <c r="E15" s="330">
        <v>0</v>
      </c>
      <c r="F15" s="333">
        <v>0</v>
      </c>
      <c r="G15" s="330">
        <v>0</v>
      </c>
      <c r="H15" s="333">
        <v>0</v>
      </c>
      <c r="I15" s="330">
        <v>0</v>
      </c>
      <c r="J15" s="333">
        <v>1</v>
      </c>
      <c r="K15" s="330">
        <v>0</v>
      </c>
      <c r="L15" s="333">
        <v>0</v>
      </c>
      <c r="M15" s="330">
        <v>0</v>
      </c>
      <c r="N15" s="333">
        <v>0</v>
      </c>
      <c r="O15" s="15"/>
      <c r="P15" s="32"/>
      <c r="Q15" s="15"/>
    </row>
    <row r="16" spans="1:17" ht="12.75">
      <c r="A16" s="336" t="s">
        <v>25</v>
      </c>
      <c r="B16" s="333">
        <v>1</v>
      </c>
      <c r="C16" s="330">
        <v>52</v>
      </c>
      <c r="D16" s="333">
        <v>3.344</v>
      </c>
      <c r="E16" s="330">
        <v>0</v>
      </c>
      <c r="F16" s="333">
        <v>0</v>
      </c>
      <c r="G16" s="330">
        <v>0</v>
      </c>
      <c r="H16" s="333">
        <v>0</v>
      </c>
      <c r="I16" s="330">
        <v>0</v>
      </c>
      <c r="J16" s="333">
        <v>1</v>
      </c>
      <c r="K16" s="330">
        <v>0</v>
      </c>
      <c r="L16" s="333">
        <v>0</v>
      </c>
      <c r="M16" s="330">
        <v>0</v>
      </c>
      <c r="N16" s="333">
        <v>0</v>
      </c>
      <c r="O16" s="15"/>
      <c r="P16" s="32"/>
      <c r="Q16" s="15"/>
    </row>
    <row r="17" spans="1:17" ht="12.75">
      <c r="A17" s="336" t="s">
        <v>26</v>
      </c>
      <c r="B17" s="333">
        <v>0.5008150542282421</v>
      </c>
      <c r="C17" s="330">
        <v>1.5480207618725887</v>
      </c>
      <c r="D17" s="333">
        <v>0.5389966099638963</v>
      </c>
      <c r="E17" s="330">
        <v>0.3914246054268679</v>
      </c>
      <c r="F17" s="333">
        <v>0.4610676145158551</v>
      </c>
      <c r="G17" s="330">
        <v>0.46419540355003025</v>
      </c>
      <c r="H17" s="333">
        <v>0.3973240038347365</v>
      </c>
      <c r="I17" s="330">
        <v>0.3169223543583082</v>
      </c>
      <c r="J17" s="333">
        <v>0.4507996394611348</v>
      </c>
      <c r="K17" s="330">
        <v>0.3756112906711816</v>
      </c>
      <c r="L17" s="333">
        <v>0.47139783320606066</v>
      </c>
      <c r="M17" s="330">
        <v>0.5000354647657999</v>
      </c>
      <c r="N17" s="333">
        <v>0.4001879257796887</v>
      </c>
      <c r="O17" s="15"/>
      <c r="P17" s="32"/>
      <c r="Q17" s="15"/>
    </row>
    <row r="18" spans="1:17" ht="12.75">
      <c r="A18" s="336" t="s">
        <v>3</v>
      </c>
      <c r="B18" s="333">
        <v>0.2508157185416371</v>
      </c>
      <c r="C18" s="330">
        <v>2.3963682791885903</v>
      </c>
      <c r="D18" s="333">
        <v>0.2905173455525725</v>
      </c>
      <c r="E18" s="330">
        <v>0.15321322173357924</v>
      </c>
      <c r="F18" s="333">
        <v>0.21258334515534116</v>
      </c>
      <c r="G18" s="330">
        <v>0.21547737267697545</v>
      </c>
      <c r="H18" s="333">
        <v>0.1578663640232657</v>
      </c>
      <c r="I18" s="330">
        <v>0.10043977869201305</v>
      </c>
      <c r="J18" s="333">
        <v>0.20322031493828913</v>
      </c>
      <c r="K18" s="330">
        <v>0.14108384167967086</v>
      </c>
      <c r="L18" s="333">
        <v>0.22221591715136899</v>
      </c>
      <c r="M18" s="330">
        <v>0.2500354660235495</v>
      </c>
      <c r="N18" s="333">
        <v>0.16015037593984963</v>
      </c>
      <c r="O18" s="15"/>
      <c r="P18" s="32"/>
      <c r="Q18" s="15"/>
    </row>
    <row r="19" spans="1:17" ht="12.75">
      <c r="A19" s="336" t="s">
        <v>27</v>
      </c>
      <c r="B19" s="333">
        <v>-2.0131341273912797</v>
      </c>
      <c r="C19" s="330">
        <v>-0.8456176882750777</v>
      </c>
      <c r="D19" s="333">
        <v>0.3882671149872605</v>
      </c>
      <c r="E19" s="330">
        <v>0.5848898522615595</v>
      </c>
      <c r="F19" s="333">
        <v>-1.2796672695278597</v>
      </c>
      <c r="G19" s="330">
        <v>-1.3442929265241261</v>
      </c>
      <c r="H19" s="333">
        <v>0.3881040759283372</v>
      </c>
      <c r="I19" s="330">
        <v>4.092785454272022</v>
      </c>
      <c r="J19" s="333">
        <v>-1.0579736005969687</v>
      </c>
      <c r="K19" s="330">
        <v>1.1588718942778828</v>
      </c>
      <c r="L19" s="333">
        <v>-1.4882465119567783</v>
      </c>
      <c r="M19" s="330">
        <v>-2.000407537881845</v>
      </c>
      <c r="N19" s="333">
        <v>0.29569512941224296</v>
      </c>
      <c r="O19" s="15"/>
      <c r="P19" s="32"/>
      <c r="Q19" s="15"/>
    </row>
    <row r="20" spans="1:17" ht="12.75">
      <c r="A20" s="336" t="s">
        <v>28</v>
      </c>
      <c r="B20" s="333">
        <v>-0.04538057020329664</v>
      </c>
      <c r="C20" s="330">
        <v>0.07722860383256716</v>
      </c>
      <c r="D20" s="333">
        <v>-0.08580676180744438</v>
      </c>
      <c r="E20" s="330">
        <v>1.6064086673911446</v>
      </c>
      <c r="F20" s="333">
        <v>0.8544069926773042</v>
      </c>
      <c r="G20" s="330">
        <v>0.8160095422983918</v>
      </c>
      <c r="H20" s="333">
        <v>1.54442308472156</v>
      </c>
      <c r="I20" s="330">
        <v>2.462126825616169</v>
      </c>
      <c r="J20" s="333">
        <v>-0.9746989592076271</v>
      </c>
      <c r="K20" s="330">
        <v>1.7748845235067328</v>
      </c>
      <c r="L20" s="333">
        <v>0.7231876493587268</v>
      </c>
      <c r="M20" s="330">
        <v>0.12120352430291552</v>
      </c>
      <c r="N20" s="333">
        <v>1.5144400093526407</v>
      </c>
      <c r="O20" s="15"/>
      <c r="P20" s="32"/>
      <c r="Q20" s="15"/>
    </row>
    <row r="21" spans="1:17" ht="12.75">
      <c r="A21" s="336" t="s">
        <v>29</v>
      </c>
      <c r="B21" s="332">
        <v>1</v>
      </c>
      <c r="C21" s="32">
        <v>6</v>
      </c>
      <c r="D21" s="332">
        <v>2.777</v>
      </c>
      <c r="E21" s="32">
        <v>1</v>
      </c>
      <c r="F21" s="332">
        <v>1</v>
      </c>
      <c r="G21" s="32">
        <v>1</v>
      </c>
      <c r="H21" s="332">
        <v>1</v>
      </c>
      <c r="I21" s="32">
        <v>1</v>
      </c>
      <c r="J21" s="332">
        <v>1</v>
      </c>
      <c r="K21" s="32">
        <v>1</v>
      </c>
      <c r="L21" s="332">
        <v>1</v>
      </c>
      <c r="M21" s="32">
        <v>1</v>
      </c>
      <c r="N21" s="332">
        <v>1</v>
      </c>
      <c r="O21" s="15"/>
      <c r="P21" s="32"/>
      <c r="Q21" s="15"/>
    </row>
    <row r="22" spans="1:17" ht="12.75">
      <c r="A22" s="336" t="s">
        <v>30</v>
      </c>
      <c r="B22" s="332">
        <v>0</v>
      </c>
      <c r="C22" s="32">
        <v>50</v>
      </c>
      <c r="D22" s="332">
        <v>2.085</v>
      </c>
      <c r="E22" s="32">
        <v>0</v>
      </c>
      <c r="F22" s="332">
        <v>0</v>
      </c>
      <c r="G22" s="32">
        <v>0</v>
      </c>
      <c r="H22" s="332">
        <v>0</v>
      </c>
      <c r="I22" s="32">
        <v>0</v>
      </c>
      <c r="J22" s="332">
        <v>0</v>
      </c>
      <c r="K22" s="32">
        <v>0</v>
      </c>
      <c r="L22" s="332">
        <v>0</v>
      </c>
      <c r="M22" s="32">
        <v>0</v>
      </c>
      <c r="N22" s="332">
        <v>0</v>
      </c>
      <c r="O22" s="15"/>
      <c r="P22" s="32"/>
      <c r="Q22" s="15"/>
    </row>
    <row r="23" spans="1:17" ht="12.75">
      <c r="A23" s="336" t="s">
        <v>31</v>
      </c>
      <c r="B23" s="332">
        <v>1</v>
      </c>
      <c r="C23" s="32">
        <v>56</v>
      </c>
      <c r="D23" s="332">
        <v>4.862</v>
      </c>
      <c r="E23" s="32">
        <v>1</v>
      </c>
      <c r="F23" s="332">
        <v>1</v>
      </c>
      <c r="G23" s="32">
        <v>1</v>
      </c>
      <c r="H23" s="332">
        <v>1</v>
      </c>
      <c r="I23" s="32">
        <v>1</v>
      </c>
      <c r="J23" s="332">
        <v>1</v>
      </c>
      <c r="K23" s="32">
        <v>1</v>
      </c>
      <c r="L23" s="332">
        <v>1</v>
      </c>
      <c r="M23" s="32">
        <v>1</v>
      </c>
      <c r="N23" s="332">
        <v>1</v>
      </c>
      <c r="O23" s="15"/>
      <c r="P23" s="32"/>
      <c r="Q23" s="15"/>
    </row>
    <row r="24" spans="1:17" ht="12.75">
      <c r="A24" s="336" t="s">
        <v>32</v>
      </c>
      <c r="B24" s="332">
        <v>136</v>
      </c>
      <c r="C24" s="32">
        <v>14114</v>
      </c>
      <c r="D24" s="332">
        <v>917.2059999999998</v>
      </c>
      <c r="E24" s="32">
        <v>50</v>
      </c>
      <c r="F24" s="332">
        <v>81</v>
      </c>
      <c r="G24" s="32">
        <v>83</v>
      </c>
      <c r="H24" s="332">
        <v>52</v>
      </c>
      <c r="I24" s="32">
        <v>30</v>
      </c>
      <c r="J24" s="332">
        <v>191</v>
      </c>
      <c r="K24" s="32">
        <v>45</v>
      </c>
      <c r="L24" s="332">
        <v>88</v>
      </c>
      <c r="M24" s="32">
        <v>125</v>
      </c>
      <c r="N24" s="332">
        <v>53</v>
      </c>
      <c r="O24" s="15"/>
      <c r="P24" s="32"/>
      <c r="Q24" s="15"/>
    </row>
    <row r="25" spans="1:17" ht="12.75">
      <c r="A25" s="337" t="s">
        <v>33</v>
      </c>
      <c r="B25" s="334">
        <v>266</v>
      </c>
      <c r="C25" s="331">
        <v>266</v>
      </c>
      <c r="D25" s="334">
        <v>266</v>
      </c>
      <c r="E25" s="331">
        <v>266</v>
      </c>
      <c r="F25" s="334">
        <v>266</v>
      </c>
      <c r="G25" s="331">
        <v>266</v>
      </c>
      <c r="H25" s="334">
        <v>266</v>
      </c>
      <c r="I25" s="331">
        <v>266</v>
      </c>
      <c r="J25" s="334">
        <v>266</v>
      </c>
      <c r="K25" s="331">
        <v>266</v>
      </c>
      <c r="L25" s="334">
        <v>266</v>
      </c>
      <c r="M25" s="331">
        <v>266</v>
      </c>
      <c r="N25" s="334">
        <v>266</v>
      </c>
      <c r="O25" s="15"/>
      <c r="P25" s="32"/>
      <c r="Q25" s="15"/>
    </row>
    <row r="26" spans="1:17" ht="12.75">
      <c r="A26" s="95"/>
      <c r="O26" s="15"/>
      <c r="P26" s="15"/>
      <c r="Q26" s="15"/>
    </row>
    <row r="27" spans="1:17" ht="12.75">
      <c r="A27" s="95"/>
      <c r="O27" s="15"/>
      <c r="P27" s="15"/>
      <c r="Q27" s="15"/>
    </row>
    <row r="28" spans="1:2" ht="12.75">
      <c r="A28" s="200" t="s">
        <v>261</v>
      </c>
      <c r="B28" s="13" t="s">
        <v>262</v>
      </c>
    </row>
    <row r="29" spans="1:4" ht="12.75">
      <c r="A29" s="340" t="s">
        <v>37</v>
      </c>
      <c r="B29" s="42"/>
      <c r="C29" s="44">
        <f>D17/C30</f>
        <v>0.26949830498194816</v>
      </c>
      <c r="D29" s="44">
        <f>D17/D30</f>
        <v>0.13474915249097408</v>
      </c>
    </row>
    <row r="30" spans="1:4" ht="12.75">
      <c r="A30" s="336" t="s">
        <v>38</v>
      </c>
      <c r="B30" s="15"/>
      <c r="C30" s="45">
        <v>2</v>
      </c>
      <c r="D30" s="45">
        <v>4</v>
      </c>
    </row>
    <row r="31" spans="1:4" ht="12.75">
      <c r="A31" s="336" t="s">
        <v>39</v>
      </c>
      <c r="B31" s="15"/>
      <c r="C31" s="46">
        <f>ROUND($D$21/C29,0)</f>
        <v>10</v>
      </c>
      <c r="D31" s="46">
        <f>ROUND($D$21/D29,0)</f>
        <v>21</v>
      </c>
    </row>
    <row r="32" spans="1:4" ht="12.75">
      <c r="A32" s="337" t="s">
        <v>40</v>
      </c>
      <c r="B32" s="43"/>
      <c r="C32" s="48">
        <v>0.25</v>
      </c>
      <c r="D32" s="47">
        <f>D21/C32</f>
        <v>11.108</v>
      </c>
    </row>
    <row r="33" spans="1:5" ht="12.75">
      <c r="A33" s="95"/>
      <c r="E33" s="18"/>
    </row>
    <row r="34" spans="1:5" ht="12.75">
      <c r="A34" s="95"/>
      <c r="E34" s="18"/>
    </row>
    <row r="35" spans="1:5" ht="12.75">
      <c r="A35" s="612" t="s">
        <v>48</v>
      </c>
      <c r="B35" s="613"/>
      <c r="C35" s="613"/>
      <c r="D35" s="613"/>
      <c r="E35" s="614"/>
    </row>
    <row r="36" spans="1:5" ht="12.75">
      <c r="A36" s="615" t="s">
        <v>44</v>
      </c>
      <c r="B36" s="616"/>
      <c r="C36" s="616"/>
      <c r="D36" s="617" t="s">
        <v>45</v>
      </c>
      <c r="E36" s="618"/>
    </row>
    <row r="37" spans="1:5" ht="13.5" thickBot="1">
      <c r="A37" s="619" t="s">
        <v>41</v>
      </c>
      <c r="B37" s="620" t="s">
        <v>42</v>
      </c>
      <c r="C37" s="621" t="s">
        <v>43</v>
      </c>
      <c r="D37" s="622" t="s">
        <v>46</v>
      </c>
      <c r="E37" s="622" t="s">
        <v>47</v>
      </c>
    </row>
    <row r="38" spans="1:5" ht="13.5" thickTop="1">
      <c r="A38" s="623">
        <f>C38-$C$32</f>
        <v>1.835</v>
      </c>
      <c r="B38" s="624">
        <f>(A38+C38)/2</f>
        <v>1.96</v>
      </c>
      <c r="C38" s="625">
        <f>D22</f>
        <v>2.085</v>
      </c>
      <c r="D38" s="626">
        <f>COUNTIF(Muestra!$E$3:$E$268,"&lt;2,085")</f>
        <v>0</v>
      </c>
      <c r="E38" s="627">
        <f aca="true" t="shared" si="0" ref="E38:E50">D38*100/$D$51</f>
        <v>0</v>
      </c>
    </row>
    <row r="39" spans="1:5" ht="12.75">
      <c r="A39" s="628">
        <f>A38+$C$32</f>
        <v>2.085</v>
      </c>
      <c r="B39" s="629">
        <f>B38+$C$32</f>
        <v>2.21</v>
      </c>
      <c r="C39" s="630">
        <f>C38+$C$32</f>
        <v>2.335</v>
      </c>
      <c r="D39" s="631">
        <f>COUNTIF(Muestra!$E$3:$E$268,"&lt;2,335")-SUM($D$38:D38)</f>
        <v>10</v>
      </c>
      <c r="E39" s="632">
        <f t="shared" si="0"/>
        <v>3.7593984962406015</v>
      </c>
    </row>
    <row r="40" spans="1:5" ht="12.75">
      <c r="A40" s="628">
        <f aca="true" t="shared" si="1" ref="A40:A50">A39+$C$32</f>
        <v>2.335</v>
      </c>
      <c r="B40" s="629">
        <f aca="true" t="shared" si="2" ref="B40:B50">B39+$C$32</f>
        <v>2.46</v>
      </c>
      <c r="C40" s="630">
        <f aca="true" t="shared" si="3" ref="C40:C50">C39+$C$32</f>
        <v>2.585</v>
      </c>
      <c r="D40" s="633">
        <f>COUNTIF(Muestra!$E$3:$E$268,"&lt;2,585")-SUM($D$38:D39)</f>
        <v>11</v>
      </c>
      <c r="E40" s="627">
        <f t="shared" si="0"/>
        <v>4.135338345864661</v>
      </c>
    </row>
    <row r="41" spans="1:5" ht="12.75">
      <c r="A41" s="628">
        <f t="shared" si="1"/>
        <v>2.585</v>
      </c>
      <c r="B41" s="629">
        <f t="shared" si="2"/>
        <v>2.71</v>
      </c>
      <c r="C41" s="630">
        <f t="shared" si="3"/>
        <v>2.835</v>
      </c>
      <c r="D41" s="633">
        <f>COUNTIF(Muestra!$E$3:$E$268,"&lt;2,835")-SUM($D$38:D40)</f>
        <v>7</v>
      </c>
      <c r="E41" s="627">
        <f t="shared" si="0"/>
        <v>2.6315789473684212</v>
      </c>
    </row>
    <row r="42" spans="1:5" ht="12.75">
      <c r="A42" s="628">
        <f t="shared" si="1"/>
        <v>2.835</v>
      </c>
      <c r="B42" s="629">
        <f t="shared" si="2"/>
        <v>2.96</v>
      </c>
      <c r="C42" s="630">
        <f t="shared" si="3"/>
        <v>3.085</v>
      </c>
      <c r="D42" s="633">
        <f>COUNTIF(Muestra!$E$3:$E$268,"&lt;3,085")-SUM($D$38:D41)</f>
        <v>27</v>
      </c>
      <c r="E42" s="627">
        <f t="shared" si="0"/>
        <v>10.150375939849624</v>
      </c>
    </row>
    <row r="43" spans="1:5" ht="12.75">
      <c r="A43" s="628">
        <f t="shared" si="1"/>
        <v>3.085</v>
      </c>
      <c r="B43" s="629">
        <f t="shared" si="2"/>
        <v>3.21</v>
      </c>
      <c r="C43" s="630">
        <f t="shared" si="3"/>
        <v>3.335</v>
      </c>
      <c r="D43" s="633">
        <f>COUNTIF(Muestra!$E$3:$E$268,"&lt;3,335")-SUM($D$38:D42)</f>
        <v>46</v>
      </c>
      <c r="E43" s="627">
        <f t="shared" si="0"/>
        <v>17.293233082706767</v>
      </c>
    </row>
    <row r="44" spans="1:5" ht="12.75">
      <c r="A44" s="628">
        <f t="shared" si="1"/>
        <v>3.335</v>
      </c>
      <c r="B44" s="629">
        <f t="shared" si="2"/>
        <v>3.46</v>
      </c>
      <c r="C44" s="630">
        <f t="shared" si="3"/>
        <v>3.585</v>
      </c>
      <c r="D44" s="633">
        <f>COUNTIF(Muestra!$E$3:$E$268,"&lt;3,585")-SUM($D$38:D43)</f>
        <v>63</v>
      </c>
      <c r="E44" s="627">
        <f t="shared" si="0"/>
        <v>23.68421052631579</v>
      </c>
    </row>
    <row r="45" spans="1:5" ht="12.75">
      <c r="A45" s="628">
        <f t="shared" si="1"/>
        <v>3.585</v>
      </c>
      <c r="B45" s="629">
        <f t="shared" si="2"/>
        <v>3.71</v>
      </c>
      <c r="C45" s="630">
        <f t="shared" si="3"/>
        <v>3.835</v>
      </c>
      <c r="D45" s="633">
        <f>COUNTIF(Muestra!$E$3:$E$268,"&lt;3,835")-SUM($D$38:D44)</f>
        <v>49</v>
      </c>
      <c r="E45" s="627">
        <f t="shared" si="0"/>
        <v>18.42105263157895</v>
      </c>
    </row>
    <row r="46" spans="1:5" ht="12.75">
      <c r="A46" s="628">
        <f t="shared" si="1"/>
        <v>3.835</v>
      </c>
      <c r="B46" s="629">
        <f t="shared" si="2"/>
        <v>3.96</v>
      </c>
      <c r="C46" s="630">
        <f t="shared" si="3"/>
        <v>4.085</v>
      </c>
      <c r="D46" s="633">
        <f>COUNTIF(Muestra!$E$3:$E$268,"&lt;4,085")-SUM($D$38:D45)</f>
        <v>27</v>
      </c>
      <c r="E46" s="627">
        <f t="shared" si="0"/>
        <v>10.150375939849624</v>
      </c>
    </row>
    <row r="47" spans="1:5" ht="12.75">
      <c r="A47" s="628">
        <f t="shared" si="1"/>
        <v>4.085</v>
      </c>
      <c r="B47" s="629">
        <f t="shared" si="2"/>
        <v>4.21</v>
      </c>
      <c r="C47" s="630">
        <f t="shared" si="3"/>
        <v>4.335</v>
      </c>
      <c r="D47" s="633">
        <f>COUNTIF(Muestra!$E$3:$E$268,"&lt;4,335")-SUM($D$38:D46)</f>
        <v>7</v>
      </c>
      <c r="E47" s="627">
        <f t="shared" si="0"/>
        <v>2.6315789473684212</v>
      </c>
    </row>
    <row r="48" spans="1:5" ht="12.75">
      <c r="A48" s="628">
        <f t="shared" si="1"/>
        <v>4.335</v>
      </c>
      <c r="B48" s="629">
        <f t="shared" si="2"/>
        <v>4.46</v>
      </c>
      <c r="C48" s="630">
        <f t="shared" si="3"/>
        <v>4.585</v>
      </c>
      <c r="D48" s="633">
        <f>COUNTIF(Muestra!$E$3:$E$268,"&lt;4,585")-SUM($D$38:D47)</f>
        <v>14</v>
      </c>
      <c r="E48" s="627">
        <f t="shared" si="0"/>
        <v>5.2631578947368425</v>
      </c>
    </row>
    <row r="49" spans="1:5" ht="12.75">
      <c r="A49" s="628">
        <f t="shared" si="1"/>
        <v>4.585</v>
      </c>
      <c r="B49" s="629">
        <f t="shared" si="2"/>
        <v>4.71</v>
      </c>
      <c r="C49" s="630">
        <f t="shared" si="3"/>
        <v>4.835</v>
      </c>
      <c r="D49" s="633">
        <f>COUNTIF(Muestra!$E$3:$E$268,"&lt;5,835")-SUM($D$38:D48)</f>
        <v>5</v>
      </c>
      <c r="E49" s="627">
        <f t="shared" si="0"/>
        <v>1.8796992481203008</v>
      </c>
    </row>
    <row r="50" spans="1:5" ht="13.5" thickBot="1">
      <c r="A50" s="634">
        <f t="shared" si="1"/>
        <v>4.835</v>
      </c>
      <c r="B50" s="635">
        <f t="shared" si="2"/>
        <v>4.96</v>
      </c>
      <c r="C50" s="636">
        <f t="shared" si="3"/>
        <v>5.085</v>
      </c>
      <c r="D50" s="637">
        <f>COUNTIF(Muestra!$E$3:$E$268,"&lt;5,085")-SUM($D$38:D49)</f>
        <v>0</v>
      </c>
      <c r="E50" s="638">
        <f t="shared" si="0"/>
        <v>0</v>
      </c>
    </row>
    <row r="51" spans="1:5" ht="12.75">
      <c r="A51" s="639"/>
      <c r="B51" s="640"/>
      <c r="C51" s="640" t="s">
        <v>32</v>
      </c>
      <c r="D51" s="641">
        <f>SUM(D38:D50)</f>
        <v>266</v>
      </c>
      <c r="E51" s="642">
        <f>SUM(E38:E50)</f>
        <v>100.00000000000001</v>
      </c>
    </row>
    <row r="78" ht="12.75">
      <c r="A78" s="354" t="s">
        <v>266</v>
      </c>
    </row>
    <row r="79" spans="1:5" ht="12.75">
      <c r="A79" s="200" t="s">
        <v>52</v>
      </c>
      <c r="E79" s="18"/>
    </row>
    <row r="80" spans="1:6" ht="12.75">
      <c r="A80" s="39" t="s">
        <v>53</v>
      </c>
      <c r="B80" s="59" t="s">
        <v>49</v>
      </c>
      <c r="C80" s="59" t="s">
        <v>49</v>
      </c>
      <c r="D80" s="653" t="s">
        <v>61</v>
      </c>
      <c r="E80" s="653"/>
      <c r="F80" s="654"/>
    </row>
    <row r="81" spans="1:6" ht="13.5" thickBot="1">
      <c r="A81" s="34" t="s">
        <v>42</v>
      </c>
      <c r="B81" s="35" t="s">
        <v>50</v>
      </c>
      <c r="C81" s="35" t="s">
        <v>60</v>
      </c>
      <c r="D81" s="36" t="s">
        <v>62</v>
      </c>
      <c r="E81" s="38" t="s">
        <v>63</v>
      </c>
      <c r="F81" s="230" t="s">
        <v>64</v>
      </c>
    </row>
    <row r="82" spans="1:6" ht="13.5" thickTop="1">
      <c r="A82" s="273">
        <f>'C. Resultados'!B38</f>
        <v>1.96</v>
      </c>
      <c r="B82" s="4">
        <f>'C. Resultados'!D38</f>
        <v>0</v>
      </c>
      <c r="C82" s="17">
        <f aca="true" t="shared" si="4" ref="C82:C94">B82*A82</f>
        <v>0</v>
      </c>
      <c r="D82" s="50">
        <f aca="true" t="shared" si="5" ref="D82:D94">B82*(A82-$C$98)^2</f>
        <v>0</v>
      </c>
      <c r="E82" s="54">
        <f aca="true" t="shared" si="6" ref="E82:E94">B82*((A82-$C$98)/$F$98)^3</f>
        <v>0</v>
      </c>
      <c r="F82" s="51">
        <f aca="true" t="shared" si="7" ref="F82:F94">B82*((A82-$C$98)/$F$98)^4</f>
        <v>0</v>
      </c>
    </row>
    <row r="83" spans="1:6" ht="12.75">
      <c r="A83" s="273">
        <f>'C. Resultados'!B39</f>
        <v>2.21</v>
      </c>
      <c r="B83" s="4">
        <f>'C. Resultados'!D39</f>
        <v>10</v>
      </c>
      <c r="C83" s="17">
        <f t="shared" si="4"/>
        <v>22.1</v>
      </c>
      <c r="D83" s="50">
        <f t="shared" si="5"/>
        <v>15.390920911300796</v>
      </c>
      <c r="E83" s="54">
        <f t="shared" si="6"/>
        <v>-124.99535126003983</v>
      </c>
      <c r="F83" s="51">
        <f t="shared" si="7"/>
        <v>290.084917163636</v>
      </c>
    </row>
    <row r="84" spans="1:6" ht="12.75">
      <c r="A84" s="273">
        <f>'C. Resultados'!B40</f>
        <v>2.46</v>
      </c>
      <c r="B84" s="4">
        <f>'C. Resultados'!D40</f>
        <v>11</v>
      </c>
      <c r="C84" s="17">
        <f t="shared" si="4"/>
        <v>27.06</v>
      </c>
      <c r="D84" s="50">
        <f t="shared" si="5"/>
        <v>10.794204731754188</v>
      </c>
      <c r="E84" s="54">
        <f t="shared" si="6"/>
        <v>-69.99815377495595</v>
      </c>
      <c r="F84" s="51">
        <f t="shared" si="7"/>
        <v>129.71331315463115</v>
      </c>
    </row>
    <row r="85" spans="1:6" ht="12.75">
      <c r="A85" s="273">
        <f>'C. Resultados'!B41</f>
        <v>2.71</v>
      </c>
      <c r="B85" s="4">
        <f>'C. Resultados'!D41</f>
        <v>7</v>
      </c>
      <c r="C85" s="17">
        <f t="shared" si="4"/>
        <v>18.97</v>
      </c>
      <c r="D85" s="50">
        <f t="shared" si="5"/>
        <v>3.839434111594772</v>
      </c>
      <c r="E85" s="54">
        <f t="shared" si="6"/>
        <v>-18.61438791647374</v>
      </c>
      <c r="F85" s="51">
        <f t="shared" si="7"/>
        <v>25.788871227383147</v>
      </c>
    </row>
    <row r="86" spans="1:6" ht="12.75">
      <c r="A86" s="273">
        <f>'C. Resultados'!B42</f>
        <v>2.96</v>
      </c>
      <c r="B86" s="4">
        <f>'C. Resultados'!D42</f>
        <v>27</v>
      </c>
      <c r="C86" s="17">
        <f t="shared" si="4"/>
        <v>79.92</v>
      </c>
      <c r="D86" s="50">
        <f t="shared" si="5"/>
        <v>6.498625558256531</v>
      </c>
      <c r="E86" s="54">
        <f t="shared" si="6"/>
        <v>-20.87119620915972</v>
      </c>
      <c r="F86" s="51">
        <f t="shared" si="7"/>
        <v>19.154693177474893</v>
      </c>
    </row>
    <row r="87" spans="1:6" ht="12.75">
      <c r="A87" s="273">
        <f>'C. Resultados'!B43</f>
        <v>3.21</v>
      </c>
      <c r="B87" s="4">
        <f>'C. Resultados'!D43</f>
        <v>46</v>
      </c>
      <c r="C87" s="17">
        <f t="shared" si="4"/>
        <v>147.66</v>
      </c>
      <c r="D87" s="50">
        <f t="shared" si="5"/>
        <v>2.662897846119047</v>
      </c>
      <c r="E87" s="54">
        <f t="shared" si="6"/>
        <v>-4.194206368346662</v>
      </c>
      <c r="F87" s="51">
        <f t="shared" si="7"/>
        <v>1.8877614649326089</v>
      </c>
    </row>
    <row r="88" spans="1:6" ht="12.75">
      <c r="A88" s="273">
        <f>'C. Resultados'!B44</f>
        <v>3.46</v>
      </c>
      <c r="B88" s="4">
        <f>'C. Resultados'!D44</f>
        <v>63</v>
      </c>
      <c r="C88" s="17">
        <f t="shared" si="4"/>
        <v>217.98</v>
      </c>
      <c r="D88" s="50">
        <f t="shared" si="5"/>
        <v>0.005564899089830379</v>
      </c>
      <c r="E88" s="54">
        <f t="shared" si="6"/>
        <v>0.0003423833344369865</v>
      </c>
      <c r="F88" s="51">
        <f t="shared" si="7"/>
        <v>6.019632427729384E-06</v>
      </c>
    </row>
    <row r="89" spans="1:6" ht="12.75">
      <c r="A89" s="273">
        <f>'C. Resultados'!B45</f>
        <v>3.71</v>
      </c>
      <c r="B89" s="4">
        <f>'C. Resultados'!D45</f>
        <v>49</v>
      </c>
      <c r="C89" s="17">
        <f t="shared" si="4"/>
        <v>181.79</v>
      </c>
      <c r="D89" s="50">
        <f t="shared" si="5"/>
        <v>3.297091412742394</v>
      </c>
      <c r="E89" s="54">
        <f t="shared" si="6"/>
        <v>5.598805672446643</v>
      </c>
      <c r="F89" s="51">
        <f t="shared" si="7"/>
        <v>2.7168260445977053</v>
      </c>
    </row>
    <row r="90" spans="1:6" ht="12.75">
      <c r="A90" s="273">
        <f>'C. Resultados'!B46</f>
        <v>3.96</v>
      </c>
      <c r="B90" s="4">
        <f>'C. Resultados'!D46</f>
        <v>27</v>
      </c>
      <c r="C90" s="17">
        <f t="shared" si="4"/>
        <v>106.92</v>
      </c>
      <c r="D90" s="50">
        <f t="shared" si="5"/>
        <v>7.006144355249038</v>
      </c>
      <c r="E90" s="54">
        <f t="shared" si="6"/>
        <v>23.363273416621116</v>
      </c>
      <c r="F90" s="51">
        <f t="shared" si="7"/>
        <v>22.263340775992898</v>
      </c>
    </row>
    <row r="91" spans="1:6" ht="12.75">
      <c r="A91" s="273">
        <f>'C. Resultados'!B47</f>
        <v>4.21</v>
      </c>
      <c r="B91" s="4">
        <f>'C. Resultados'!D47</f>
        <v>7</v>
      </c>
      <c r="C91" s="17">
        <f t="shared" si="4"/>
        <v>29.47</v>
      </c>
      <c r="D91" s="50">
        <f t="shared" si="5"/>
        <v>4.036802532647413</v>
      </c>
      <c r="E91" s="54">
        <f t="shared" si="6"/>
        <v>20.068004514344434</v>
      </c>
      <c r="F91" s="51">
        <f t="shared" si="7"/>
        <v>28.50840413534448</v>
      </c>
    </row>
    <row r="92" spans="1:6" ht="12.75">
      <c r="A92" s="273">
        <f>'C. Resultados'!B48</f>
        <v>4.46</v>
      </c>
      <c r="B92" s="4">
        <f>'C. Resultados'!D48</f>
        <v>14</v>
      </c>
      <c r="C92" s="17">
        <f t="shared" si="4"/>
        <v>62.44</v>
      </c>
      <c r="D92" s="50">
        <f t="shared" si="5"/>
        <v>14.264394538979039</v>
      </c>
      <c r="E92" s="54">
        <f t="shared" si="6"/>
        <v>94.25685556541796</v>
      </c>
      <c r="F92" s="51">
        <f t="shared" si="7"/>
        <v>177.98138612600172</v>
      </c>
    </row>
    <row r="93" spans="1:6" ht="12.75">
      <c r="A93" s="273">
        <f>'C. Resultados'!B49</f>
        <v>4.71</v>
      </c>
      <c r="B93" s="4">
        <f>'C. Resultados'!D49</f>
        <v>5</v>
      </c>
      <c r="C93" s="17">
        <f t="shared" si="4"/>
        <v>23.55</v>
      </c>
      <c r="D93" s="50">
        <f t="shared" si="5"/>
        <v>7.930422861665447</v>
      </c>
      <c r="E93" s="54">
        <f t="shared" si="6"/>
        <v>65.38173893032155</v>
      </c>
      <c r="F93" s="51">
        <f t="shared" si="7"/>
        <v>154.0347192719684</v>
      </c>
    </row>
    <row r="94" spans="1:6" ht="13.5" thickBot="1">
      <c r="A94" s="274">
        <f>'C. Resultados'!B50</f>
        <v>4.96</v>
      </c>
      <c r="B94" s="55">
        <f>'C. Resultados'!D50</f>
        <v>0</v>
      </c>
      <c r="C94" s="37">
        <f t="shared" si="4"/>
        <v>0</v>
      </c>
      <c r="D94" s="56">
        <f t="shared" si="5"/>
        <v>0</v>
      </c>
      <c r="E94" s="57">
        <f t="shared" si="6"/>
        <v>0</v>
      </c>
      <c r="F94" s="58">
        <f t="shared" si="7"/>
        <v>0</v>
      </c>
    </row>
    <row r="95" spans="1:6" ht="12.75">
      <c r="A95" s="273"/>
      <c r="B95" s="15"/>
      <c r="C95" s="15"/>
      <c r="D95" s="15"/>
      <c r="E95" s="52"/>
      <c r="F95" s="51">
        <f>SUM(F82:F94)</f>
        <v>852.1342385615956</v>
      </c>
    </row>
    <row r="96" spans="1:6" ht="12.75">
      <c r="A96" s="275" t="s">
        <v>54</v>
      </c>
      <c r="B96" s="42"/>
      <c r="C96" s="1">
        <f>SUM(B82:B94)</f>
        <v>266</v>
      </c>
      <c r="D96" s="1" t="s">
        <v>57</v>
      </c>
      <c r="E96" s="61"/>
      <c r="F96" s="73">
        <f>SUM(D82:D94)</f>
        <v>75.7265037593985</v>
      </c>
    </row>
    <row r="97" spans="1:6" ht="12.75">
      <c r="A97" s="93" t="s">
        <v>55</v>
      </c>
      <c r="B97" s="15"/>
      <c r="C97" s="49">
        <f>SUM(C82:C94)</f>
        <v>917.8599999999999</v>
      </c>
      <c r="D97" s="14" t="s">
        <v>58</v>
      </c>
      <c r="E97" s="62"/>
      <c r="F97" s="74">
        <f>F96/(C96-1)</f>
        <v>0.2857603915449</v>
      </c>
    </row>
    <row r="98" spans="1:6" ht="12.75">
      <c r="A98" s="94" t="s">
        <v>56</v>
      </c>
      <c r="B98" s="43"/>
      <c r="C98" s="72">
        <f>C97/C96</f>
        <v>3.450601503759398</v>
      </c>
      <c r="D98" s="14" t="s">
        <v>59</v>
      </c>
      <c r="E98" s="62"/>
      <c r="F98" s="75">
        <f>SQRT(F97)</f>
        <v>0.534565610140514</v>
      </c>
    </row>
    <row r="99" spans="1:6" ht="12.75">
      <c r="A99" s="93"/>
      <c r="B99" s="15"/>
      <c r="C99" s="15"/>
      <c r="D99" s="14" t="s">
        <v>65</v>
      </c>
      <c r="E99" s="62"/>
      <c r="F99" s="79">
        <f>(C96/((C96-1)*(C96-2)))*SUM(E82:E94)</f>
        <v>-0.11408143456784274</v>
      </c>
    </row>
    <row r="100" spans="1:6" ht="12.75">
      <c r="A100" s="94"/>
      <c r="B100" s="43"/>
      <c r="C100" s="43"/>
      <c r="D100" s="21" t="s">
        <v>66</v>
      </c>
      <c r="E100" s="63"/>
      <c r="F100" s="80">
        <f>((C96*(C96+1)/((C96-1)*(C96-2)*(C96-3)))*SUM(F82:F94))-(3*(C96-1)^2)/((C96-2)*(C96-3))</f>
        <v>0.2549747542387961</v>
      </c>
    </row>
    <row r="103" spans="1:7" ht="12.75">
      <c r="A103" s="200" t="s">
        <v>251</v>
      </c>
      <c r="E103" s="18"/>
      <c r="F103" s="18" t="s">
        <v>267</v>
      </c>
      <c r="G103" s="18" t="s">
        <v>46</v>
      </c>
    </row>
    <row r="104" spans="1:10" ht="12.75">
      <c r="A104" s="655" t="s">
        <v>73</v>
      </c>
      <c r="B104" s="656"/>
      <c r="C104" s="655" t="s">
        <v>75</v>
      </c>
      <c r="D104" s="657"/>
      <c r="E104" s="656"/>
      <c r="F104" s="655" t="s">
        <v>69</v>
      </c>
      <c r="G104" s="656"/>
      <c r="H104" s="346" t="s">
        <v>72</v>
      </c>
      <c r="I104" s="346"/>
      <c r="J104" s="347" t="s">
        <v>264</v>
      </c>
    </row>
    <row r="105" spans="1:10" ht="13.5" thickBot="1">
      <c r="A105" s="348" t="s">
        <v>41</v>
      </c>
      <c r="B105" s="349" t="s">
        <v>43</v>
      </c>
      <c r="C105" s="350" t="s">
        <v>76</v>
      </c>
      <c r="D105" s="349" t="s">
        <v>51</v>
      </c>
      <c r="E105" s="350" t="s">
        <v>74</v>
      </c>
      <c r="F105" s="349" t="s">
        <v>70</v>
      </c>
      <c r="G105" s="350" t="s">
        <v>51</v>
      </c>
      <c r="H105" s="351" t="s">
        <v>71</v>
      </c>
      <c r="I105" s="352" t="s">
        <v>263</v>
      </c>
      <c r="J105" s="353" t="s">
        <v>265</v>
      </c>
    </row>
    <row r="106" spans="1:10" ht="13.5" thickTop="1">
      <c r="A106" s="344">
        <f>'C. Resultados'!A38</f>
        <v>1.835</v>
      </c>
      <c r="B106" s="65">
        <f>'C. Resultados'!C38</f>
        <v>2.085</v>
      </c>
      <c r="C106" s="15">
        <f>'C. Resultados'!D38</f>
        <v>0</v>
      </c>
      <c r="D106" s="4">
        <f>C106</f>
        <v>0</v>
      </c>
      <c r="E106" s="50">
        <f>D106/'C. Resultados'!$C$96</f>
        <v>0</v>
      </c>
      <c r="F106" s="64">
        <f>NORMDIST(B106,'C. Resultados'!$C$98,'C. Resultados'!$F$98,1)-0</f>
        <v>0.0053154887875421775</v>
      </c>
      <c r="G106" s="66">
        <f>F106</f>
        <v>0.0053154887875421775</v>
      </c>
      <c r="H106" s="64">
        <f aca="true" t="shared" si="8" ref="H106:H117">ABS(G106-E106)</f>
        <v>0.0053154887875421775</v>
      </c>
      <c r="I106" s="84">
        <f>F106*$C$96</f>
        <v>1.4139200174862192</v>
      </c>
      <c r="J106" s="51">
        <f>(C106-I106)^2/I106</f>
        <v>1.4139200174862192</v>
      </c>
    </row>
    <row r="107" spans="1:10" ht="12.75">
      <c r="A107" s="344">
        <f>'C. Resultados'!A39</f>
        <v>2.085</v>
      </c>
      <c r="B107" s="65">
        <f>'C. Resultados'!C39</f>
        <v>2.335</v>
      </c>
      <c r="C107" s="15">
        <f>'C. Resultados'!D39</f>
        <v>10</v>
      </c>
      <c r="D107" s="4">
        <f aca="true" t="shared" si="9" ref="D107:D117">C107+D106</f>
        <v>10</v>
      </c>
      <c r="E107" s="50">
        <f>D107/'C. Resultados'!$C$96</f>
        <v>0.03759398496240601</v>
      </c>
      <c r="F107" s="64">
        <f>NORMDIST(B107,'C. Resultados'!$C$98,'C. Resultados'!$F$98,1)-NORMDIST(A107,'C. Resultados'!$C$98,'C. Resultados'!$F$98,1)</f>
        <v>0.013131700654720024</v>
      </c>
      <c r="G107" s="66">
        <f aca="true" t="shared" si="10" ref="G107:G117">G106+F107</f>
        <v>0.018447189442262202</v>
      </c>
      <c r="H107" s="64">
        <f t="shared" si="8"/>
        <v>0.01914679552014381</v>
      </c>
      <c r="I107" s="84">
        <f aca="true" t="shared" si="11" ref="I107:I117">F107*$C$96</f>
        <v>3.4930323741555265</v>
      </c>
      <c r="J107" s="51">
        <f aca="true" t="shared" si="12" ref="J107:J117">(C107-I107)^2/I107</f>
        <v>12.121452980814215</v>
      </c>
    </row>
    <row r="108" spans="1:10" ht="12.75">
      <c r="A108" s="344">
        <f>'C. Resultados'!A40</f>
        <v>2.335</v>
      </c>
      <c r="B108" s="65">
        <f>'C. Resultados'!C40</f>
        <v>2.585</v>
      </c>
      <c r="C108" s="15">
        <f>'C. Resultados'!D40</f>
        <v>11</v>
      </c>
      <c r="D108" s="4">
        <f t="shared" si="9"/>
        <v>21</v>
      </c>
      <c r="E108" s="50">
        <f>D108/'C. Resultados'!$C$96</f>
        <v>0.07894736842105263</v>
      </c>
      <c r="F108" s="81">
        <f>NORMDIST(B108,'C. Resultados'!$C$98,'C. Resultados'!$F$98,1)-NORMDIST(A108,'C. Resultados'!$C$98,'C. Resultados'!$F$98,1)</f>
        <v>0.03424831746012891</v>
      </c>
      <c r="G108" s="66">
        <f t="shared" si="10"/>
        <v>0.05269550690239111</v>
      </c>
      <c r="H108" s="83">
        <f t="shared" si="8"/>
        <v>0.026251861518661518</v>
      </c>
      <c r="I108" s="84">
        <f t="shared" si="11"/>
        <v>9.11005244439429</v>
      </c>
      <c r="J108" s="51">
        <f t="shared" si="12"/>
        <v>0.39208355657029237</v>
      </c>
    </row>
    <row r="109" spans="1:10" ht="12.75">
      <c r="A109" s="344">
        <f>'C. Resultados'!A41</f>
        <v>2.585</v>
      </c>
      <c r="B109" s="65">
        <f>'C. Resultados'!C41</f>
        <v>2.835</v>
      </c>
      <c r="C109" s="15">
        <f>'C. Resultados'!D41</f>
        <v>7</v>
      </c>
      <c r="D109" s="4">
        <f t="shared" si="9"/>
        <v>28</v>
      </c>
      <c r="E109" s="50">
        <f>D109/'C. Resultados'!$C$96</f>
        <v>0.10526315789473684</v>
      </c>
      <c r="F109" s="64">
        <f>NORMDIST(B109,'C. Resultados'!$C$98,'C. Resultados'!$F$98,1)-NORMDIST(A109,'C. Resultados'!$C$98,'C. Resultados'!$F$98,1)</f>
        <v>0.07204886917167408</v>
      </c>
      <c r="G109" s="66">
        <f t="shared" si="10"/>
        <v>0.12474437607406519</v>
      </c>
      <c r="H109" s="64">
        <f t="shared" si="8"/>
        <v>0.019481218179328352</v>
      </c>
      <c r="I109" s="84">
        <f t="shared" si="11"/>
        <v>19.164999199665306</v>
      </c>
      <c r="J109" s="51">
        <f t="shared" si="12"/>
        <v>7.721743371136794</v>
      </c>
    </row>
    <row r="110" spans="1:10" ht="12.75">
      <c r="A110" s="344">
        <f>'C. Resultados'!A42</f>
        <v>2.835</v>
      </c>
      <c r="B110" s="65">
        <f>'C. Resultados'!C42</f>
        <v>3.085</v>
      </c>
      <c r="C110" s="15">
        <f>'C. Resultados'!D42</f>
        <v>27</v>
      </c>
      <c r="D110" s="4">
        <f t="shared" si="9"/>
        <v>55</v>
      </c>
      <c r="E110" s="50">
        <f>D110/'C. Resultados'!$C$96</f>
        <v>0.20676691729323307</v>
      </c>
      <c r="F110" s="64">
        <f>NORMDIST(B110,'C. Resultados'!$C$98,'C. Resultados'!$F$98,1)-NORMDIST(A110,'C. Resultados'!$C$98,'C. Resultados'!$F$98,1)</f>
        <v>0.12226764394095535</v>
      </c>
      <c r="G110" s="66">
        <f t="shared" si="10"/>
        <v>0.24701202001502054</v>
      </c>
      <c r="H110" s="64">
        <f t="shared" si="8"/>
        <v>0.04024510272178747</v>
      </c>
      <c r="I110" s="84">
        <f t="shared" si="11"/>
        <v>32.523193288294124</v>
      </c>
      <c r="J110" s="51">
        <f t="shared" si="12"/>
        <v>0.9379664484187343</v>
      </c>
    </row>
    <row r="111" spans="1:10" ht="12.75">
      <c r="A111" s="344">
        <f>'C. Resultados'!A43</f>
        <v>3.085</v>
      </c>
      <c r="B111" s="65">
        <f>'C. Resultados'!C43</f>
        <v>3.335</v>
      </c>
      <c r="C111" s="15">
        <f>'C. Resultados'!D43</f>
        <v>46</v>
      </c>
      <c r="D111" s="4">
        <f t="shared" si="9"/>
        <v>101</v>
      </c>
      <c r="E111" s="50">
        <f>D111/'C. Resultados'!$C$96</f>
        <v>0.37969924812030076</v>
      </c>
      <c r="F111" s="64">
        <f>NORMDIST(B111,'C. Resultados'!$C$98,'C. Resultados'!$F$98,1)-NORMDIST(A111,'C. Resultados'!$C$98,'C. Resultados'!$F$98,1)</f>
        <v>0.16738318803369168</v>
      </c>
      <c r="G111" s="66">
        <f t="shared" si="10"/>
        <v>0.4143952080487122</v>
      </c>
      <c r="H111" s="64">
        <f t="shared" si="8"/>
        <v>0.03469595992841146</v>
      </c>
      <c r="I111" s="84">
        <f t="shared" si="11"/>
        <v>44.52392801696199</v>
      </c>
      <c r="J111" s="51">
        <f t="shared" si="12"/>
        <v>0.04893522643104912</v>
      </c>
    </row>
    <row r="112" spans="1:10" ht="12.75">
      <c r="A112" s="344">
        <f>'C. Resultados'!A44</f>
        <v>3.335</v>
      </c>
      <c r="B112" s="65">
        <f>'C. Resultados'!C44</f>
        <v>3.585</v>
      </c>
      <c r="C112" s="15">
        <f>'C. Resultados'!D44</f>
        <v>63</v>
      </c>
      <c r="D112" s="4">
        <f t="shared" si="9"/>
        <v>164</v>
      </c>
      <c r="E112" s="50">
        <f>D112/'C. Resultados'!$C$96</f>
        <v>0.6165413533834586</v>
      </c>
      <c r="F112" s="64">
        <f>NORMDIST(B112,'C. Resultados'!$C$98,'C. Resultados'!$F$98,1)-NORMDIST(A112,'C. Resultados'!$C$98,'C. Resultados'!$F$98,1)</f>
        <v>0.18485865019932335</v>
      </c>
      <c r="G112" s="66">
        <f t="shared" si="10"/>
        <v>0.5992538582480356</v>
      </c>
      <c r="H112" s="64">
        <f t="shared" si="8"/>
        <v>0.017287495135423048</v>
      </c>
      <c r="I112" s="84">
        <f t="shared" si="11"/>
        <v>49.17240095302001</v>
      </c>
      <c r="J112" s="51">
        <f t="shared" si="12"/>
        <v>3.8884108096881307</v>
      </c>
    </row>
    <row r="113" spans="1:10" ht="12.75">
      <c r="A113" s="344">
        <f>'C. Resultados'!A45</f>
        <v>3.585</v>
      </c>
      <c r="B113" s="65">
        <f>'C. Resultados'!C45</f>
        <v>3.835</v>
      </c>
      <c r="C113" s="15">
        <f>'C. Resultados'!D45</f>
        <v>49</v>
      </c>
      <c r="D113" s="4">
        <f t="shared" si="9"/>
        <v>213</v>
      </c>
      <c r="E113" s="50">
        <f>D113/'C. Resultados'!$C$96</f>
        <v>0.8007518796992481</v>
      </c>
      <c r="F113" s="64">
        <f>NORMDIST(B113,'C. Resultados'!$C$98,'C. Resultados'!$F$98,1)-NORMDIST(A113,'C. Resultados'!$C$98,'C. Resultados'!$F$98,1)</f>
        <v>0.1647020888616011</v>
      </c>
      <c r="G113" s="66">
        <f t="shared" si="10"/>
        <v>0.7639559471096367</v>
      </c>
      <c r="H113" s="64">
        <f t="shared" si="8"/>
        <v>0.036795932589611446</v>
      </c>
      <c r="I113" s="84">
        <f t="shared" si="11"/>
        <v>43.81075563718589</v>
      </c>
      <c r="J113" s="51">
        <f t="shared" si="12"/>
        <v>0.6146494545768965</v>
      </c>
    </row>
    <row r="114" spans="1:10" ht="12.75">
      <c r="A114" s="344">
        <f>'C. Resultados'!A46</f>
        <v>3.835</v>
      </c>
      <c r="B114" s="65">
        <f>'C. Resultados'!C46</f>
        <v>4.085</v>
      </c>
      <c r="C114" s="15">
        <f>'C. Resultados'!D46</f>
        <v>27</v>
      </c>
      <c r="D114" s="4">
        <f t="shared" si="9"/>
        <v>240</v>
      </c>
      <c r="E114" s="50">
        <f>D114/'C. Resultados'!$C$96</f>
        <v>0.9022556390977443</v>
      </c>
      <c r="F114" s="64">
        <f>NORMDIST(B114,'C. Resultados'!$C$98,'C. Resultados'!$F$98,1)-NORMDIST(A114,'C. Resultados'!$C$98,'C. Resultados'!$F$98,1)</f>
        <v>0.11838194769424293</v>
      </c>
      <c r="G114" s="66">
        <f t="shared" si="10"/>
        <v>0.8823378948038796</v>
      </c>
      <c r="H114" s="64">
        <f t="shared" si="8"/>
        <v>0.019917744293864725</v>
      </c>
      <c r="I114" s="84">
        <f t="shared" si="11"/>
        <v>31.489598086668618</v>
      </c>
      <c r="J114" s="51">
        <f t="shared" si="12"/>
        <v>0.6400999760092821</v>
      </c>
    </row>
    <row r="115" spans="1:10" ht="12.75">
      <c r="A115" s="344">
        <f>'C. Resultados'!A47</f>
        <v>4.085</v>
      </c>
      <c r="B115" s="65">
        <f>'C. Resultados'!C47</f>
        <v>4.335</v>
      </c>
      <c r="C115" s="15">
        <f>'C. Resultados'!D47</f>
        <v>7</v>
      </c>
      <c r="D115" s="4">
        <f t="shared" si="9"/>
        <v>247</v>
      </c>
      <c r="E115" s="50">
        <f>D115/'C. Resultados'!$C$96</f>
        <v>0.9285714285714286</v>
      </c>
      <c r="F115" s="64">
        <f>NORMDIST(B115,'C. Resultados'!$C$98,'C. Resultados'!$F$98,1)-NORMDIST(A115,'C. Resultados'!$C$98,'C. Resultados'!$F$98,1)</f>
        <v>0.06864146949783856</v>
      </c>
      <c r="G115" s="66">
        <f t="shared" si="10"/>
        <v>0.9509793643017181</v>
      </c>
      <c r="H115" s="64">
        <f t="shared" si="8"/>
        <v>0.02240793573028954</v>
      </c>
      <c r="I115" s="84">
        <f t="shared" si="11"/>
        <v>18.258630886425056</v>
      </c>
      <c r="J115" s="51">
        <f t="shared" si="12"/>
        <v>6.942293221503562</v>
      </c>
    </row>
    <row r="116" spans="1:10" ht="12.75">
      <c r="A116" s="344">
        <f>'C. Resultados'!A48</f>
        <v>4.335</v>
      </c>
      <c r="B116" s="65">
        <f>'C. Resultados'!C48</f>
        <v>4.585</v>
      </c>
      <c r="C116" s="15">
        <f>'C. Resultados'!D48</f>
        <v>14</v>
      </c>
      <c r="D116" s="4">
        <f t="shared" si="9"/>
        <v>261</v>
      </c>
      <c r="E116" s="50">
        <f>D116/'C. Resultados'!$C$96</f>
        <v>0.981203007518797</v>
      </c>
      <c r="F116" s="64">
        <f>NORMDIST(B116,'C. Resultados'!$C$98,'C. Resultados'!$F$98,1)-NORMDIST(A116,'C. Resultados'!$C$98,'C. Resultados'!$F$98,1)</f>
        <v>0.03210571487458802</v>
      </c>
      <c r="G116" s="66">
        <f t="shared" si="10"/>
        <v>0.9830850791763062</v>
      </c>
      <c r="H116" s="64">
        <f t="shared" si="8"/>
        <v>0.001882071657509199</v>
      </c>
      <c r="I116" s="84">
        <f t="shared" si="11"/>
        <v>8.540120156640413</v>
      </c>
      <c r="J116" s="51">
        <f t="shared" si="12"/>
        <v>3.490616918398411</v>
      </c>
    </row>
    <row r="117" spans="1:10" ht="13.5" thickBot="1">
      <c r="A117" s="345">
        <f>'C. Resultados'!A49</f>
        <v>4.585</v>
      </c>
      <c r="B117" s="67">
        <f>'C. Resultados'!C49</f>
        <v>4.835</v>
      </c>
      <c r="C117" s="68">
        <f>'C. Resultados'!D49</f>
        <v>5</v>
      </c>
      <c r="D117" s="55">
        <f t="shared" si="9"/>
        <v>266</v>
      </c>
      <c r="E117" s="82">
        <f>D117/'C. Resultados'!$C$96</f>
        <v>1</v>
      </c>
      <c r="F117" s="69">
        <f>1-NORMDIST(A117,'C. Resultados'!$C$98,'C. Resultados'!$F$98,1)</f>
        <v>0.016914920823693835</v>
      </c>
      <c r="G117" s="70">
        <f t="shared" si="10"/>
        <v>1</v>
      </c>
      <c r="H117" s="69">
        <f t="shared" si="8"/>
        <v>0</v>
      </c>
      <c r="I117" s="343">
        <f t="shared" si="11"/>
        <v>4.49936893910256</v>
      </c>
      <c r="J117" s="58">
        <f t="shared" si="12"/>
        <v>0.05570369145707071</v>
      </c>
    </row>
    <row r="118" spans="1:10" ht="12.75">
      <c r="A118" s="93"/>
      <c r="B118" s="15"/>
      <c r="C118" s="11">
        <f>SUM(C106:C117)</f>
        <v>266</v>
      </c>
      <c r="D118" s="15"/>
      <c r="E118" s="52"/>
      <c r="F118" s="71" t="s">
        <v>67</v>
      </c>
      <c r="G118" s="15"/>
      <c r="H118" s="285">
        <f>MAX(H106:H117)</f>
        <v>0.04024510272178747</v>
      </c>
      <c r="I118" s="84">
        <f>SUM(I106:I117)</f>
        <v>266.00000000000006</v>
      </c>
      <c r="J118" s="355">
        <f>SUM(J106:J117)</f>
        <v>38.26787567249065</v>
      </c>
    </row>
    <row r="119" spans="1:10" ht="12.75">
      <c r="A119" s="94"/>
      <c r="B119" s="43"/>
      <c r="C119" s="43"/>
      <c r="D119" s="43"/>
      <c r="E119" s="53"/>
      <c r="F119" s="43" t="s">
        <v>68</v>
      </c>
      <c r="G119" s="43"/>
      <c r="H119" s="219">
        <f>1.36/SQRT('C. Resultados'!C96)</f>
        <v>0.08338695016995536</v>
      </c>
      <c r="I119" s="97"/>
      <c r="J119" s="356">
        <f>CHIDIST(J118,COUNT(J106:J117)-1)</f>
        <v>7.049494658220504E-05</v>
      </c>
    </row>
    <row r="121" ht="12.75">
      <c r="F121" s="78"/>
    </row>
    <row r="142" ht="12.75">
      <c r="A142" s="354" t="s">
        <v>268</v>
      </c>
    </row>
    <row r="165" ht="12.75">
      <c r="A165" s="200" t="s">
        <v>252</v>
      </c>
    </row>
    <row r="166" spans="1:4" ht="13.5" thickBot="1">
      <c r="A166" s="279" t="s">
        <v>78</v>
      </c>
      <c r="B166" s="111"/>
      <c r="C166" s="111"/>
      <c r="D166" s="20"/>
    </row>
    <row r="167" spans="1:4" ht="13.5" thickTop="1">
      <c r="A167" s="93" t="s">
        <v>79</v>
      </c>
      <c r="B167" s="15"/>
      <c r="C167" s="15"/>
      <c r="D167" s="4">
        <f>ROUND(NORMSINV(0.25),3)</f>
        <v>-0.674</v>
      </c>
    </row>
    <row r="168" spans="1:4" ht="12.75">
      <c r="A168" s="93" t="s">
        <v>56</v>
      </c>
      <c r="B168" s="15"/>
      <c r="C168" s="15"/>
      <c r="D168" s="17">
        <f>'C. Resultados'!C98</f>
        <v>3.450601503759398</v>
      </c>
    </row>
    <row r="169" spans="1:4" ht="12.75">
      <c r="A169" s="93" t="s">
        <v>80</v>
      </c>
      <c r="B169" s="15"/>
      <c r="C169" s="15"/>
      <c r="D169" s="16">
        <f>'C. Resultados'!F98</f>
        <v>0.534565610140514</v>
      </c>
    </row>
    <row r="170" spans="1:4" ht="12.75">
      <c r="A170" s="94" t="s">
        <v>81</v>
      </c>
      <c r="B170" s="43"/>
      <c r="C170" s="43"/>
      <c r="D170" s="357">
        <f>ROUND(D168+D167*D169,3)</f>
        <v>3.09</v>
      </c>
    </row>
    <row r="173" spans="1:4" ht="13.5" thickBot="1">
      <c r="A173" s="279" t="s">
        <v>82</v>
      </c>
      <c r="B173" s="286"/>
      <c r="C173" s="286"/>
      <c r="D173" s="287"/>
    </row>
    <row r="174" spans="1:4" ht="13.5" thickTop="1">
      <c r="A174" s="93" t="s">
        <v>83</v>
      </c>
      <c r="B174" s="15"/>
      <c r="C174" s="15"/>
      <c r="D174" s="4">
        <f>(266+1)*0.25</f>
        <v>66.75</v>
      </c>
    </row>
    <row r="175" spans="1:4" ht="12.75">
      <c r="A175" s="93" t="s">
        <v>84</v>
      </c>
      <c r="B175" s="15"/>
      <c r="C175" s="15"/>
      <c r="D175" s="4">
        <f>'C. Resultados'!D110</f>
        <v>55</v>
      </c>
    </row>
    <row r="176" spans="1:4" ht="12.75">
      <c r="A176" s="93" t="s">
        <v>85</v>
      </c>
      <c r="B176" s="15"/>
      <c r="C176" s="15"/>
      <c r="D176" s="65">
        <f>'C. Resultados'!A110</f>
        <v>2.835</v>
      </c>
    </row>
    <row r="177" spans="1:4" ht="12.75">
      <c r="A177" s="93" t="s">
        <v>86</v>
      </c>
      <c r="B177" s="15"/>
      <c r="C177" s="15"/>
      <c r="D177" s="4">
        <f>'C. Resultados'!C111</f>
        <v>46</v>
      </c>
    </row>
    <row r="178" spans="1:4" ht="12.75">
      <c r="A178" s="93" t="s">
        <v>87</v>
      </c>
      <c r="B178" s="15"/>
      <c r="C178" s="15"/>
      <c r="D178" s="4">
        <f>C32</f>
        <v>0.25</v>
      </c>
    </row>
    <row r="179" spans="1:4" ht="12.75">
      <c r="A179" s="93" t="s">
        <v>88</v>
      </c>
      <c r="B179" s="15"/>
      <c r="C179" s="15"/>
      <c r="D179" s="358">
        <f>ROUND(D176+((D174-D175)/D177)*D178,3)</f>
        <v>2.899</v>
      </c>
    </row>
    <row r="180" spans="1:4" ht="12.75">
      <c r="A180" s="94" t="s">
        <v>89</v>
      </c>
      <c r="B180" s="43"/>
      <c r="C180" s="43"/>
      <c r="D180" s="359">
        <f>ROUND(QUARTILE(Muestra!E3:E268,1),3)</f>
        <v>3.16</v>
      </c>
    </row>
    <row r="183" spans="1:2" ht="12.75">
      <c r="A183" s="13" t="s">
        <v>269</v>
      </c>
      <c r="B183" s="13" t="s">
        <v>270</v>
      </c>
    </row>
    <row r="184" spans="1:4" ht="13.5" thickBot="1">
      <c r="A184" s="279" t="s">
        <v>253</v>
      </c>
      <c r="B184" s="286"/>
      <c r="C184" s="286"/>
      <c r="D184" s="287"/>
    </row>
    <row r="185" spans="1:4" ht="13.5" thickTop="1">
      <c r="A185" s="190" t="s">
        <v>90</v>
      </c>
      <c r="B185" s="42"/>
      <c r="C185" s="42"/>
      <c r="D185" s="288">
        <f>'C. Resultados'!D170</f>
        <v>3.09</v>
      </c>
    </row>
    <row r="186" spans="1:4" ht="12.75">
      <c r="A186" s="93" t="s">
        <v>91</v>
      </c>
      <c r="B186" s="15"/>
      <c r="C186" s="15"/>
      <c r="D186" s="17">
        <f>NORMSINV(0.05/2)</f>
        <v>-1.9599639845400545</v>
      </c>
    </row>
    <row r="187" spans="1:4" ht="12.75">
      <c r="A187" s="93" t="s">
        <v>92</v>
      </c>
      <c r="B187" s="15"/>
      <c r="C187" s="15"/>
      <c r="D187" s="4">
        <v>1.3626</v>
      </c>
    </row>
    <row r="188" spans="1:4" ht="12.75">
      <c r="A188" s="93" t="s">
        <v>80</v>
      </c>
      <c r="B188" s="15"/>
      <c r="C188" s="15"/>
      <c r="D188" s="16">
        <f>'C. Resultados'!D169</f>
        <v>0.534565610140514</v>
      </c>
    </row>
    <row r="189" spans="1:4" ht="12.75">
      <c r="A189" s="93" t="s">
        <v>93</v>
      </c>
      <c r="B189" s="15"/>
      <c r="C189" s="15"/>
      <c r="D189" s="4">
        <f>'C. Resultados'!C96</f>
        <v>266</v>
      </c>
    </row>
    <row r="190" spans="1:4" ht="12.75">
      <c r="A190" s="93" t="s">
        <v>94</v>
      </c>
      <c r="B190" s="15"/>
      <c r="C190" s="15"/>
      <c r="D190" s="358">
        <f>ROUND(D185+(D186*D187*D188)/SQRT(D189),3)</f>
        <v>3.002</v>
      </c>
    </row>
    <row r="191" spans="1:4" ht="12.75">
      <c r="A191" s="94" t="s">
        <v>95</v>
      </c>
      <c r="B191" s="43"/>
      <c r="C191" s="43"/>
      <c r="D191" s="167">
        <f>ROUND(D185-(D186*D187*D188)/SQRT(D189),3)</f>
        <v>3.178</v>
      </c>
    </row>
    <row r="195" spans="1:2" ht="12.75">
      <c r="A195" s="200" t="s">
        <v>96</v>
      </c>
      <c r="B195" s="13" t="s">
        <v>97</v>
      </c>
    </row>
    <row r="196" spans="1:3" ht="12.75">
      <c r="A196" s="59" t="s">
        <v>98</v>
      </c>
      <c r="B196" s="653" t="s">
        <v>49</v>
      </c>
      <c r="C196" s="654"/>
    </row>
    <row r="197" spans="1:3" ht="13.5" thickBot="1">
      <c r="A197" s="34" t="s">
        <v>99</v>
      </c>
      <c r="B197" s="38" t="s">
        <v>50</v>
      </c>
      <c r="C197" s="86" t="s">
        <v>100</v>
      </c>
    </row>
    <row r="198" spans="1:3" ht="13.5" thickTop="1">
      <c r="A198" s="276">
        <v>50</v>
      </c>
      <c r="B198" s="4">
        <f>COUNTIF(Muestra!$D$3:$D$268,"=50")</f>
        <v>9</v>
      </c>
      <c r="C198" s="87">
        <f aca="true" t="shared" si="13" ref="C198:C204">B198*100/$B$205</f>
        <v>3.3834586466165413</v>
      </c>
    </row>
    <row r="199" spans="1:3" ht="12.75">
      <c r="A199" s="93">
        <v>51</v>
      </c>
      <c r="B199" s="4">
        <f>COUNTIF(Muestra!$D$3:$D$268,"=51")</f>
        <v>36</v>
      </c>
      <c r="C199" s="87">
        <f t="shared" si="13"/>
        <v>13.533834586466165</v>
      </c>
    </row>
    <row r="200" spans="1:3" ht="12.75">
      <c r="A200" s="276">
        <v>52</v>
      </c>
      <c r="B200" s="4">
        <f>COUNTIF(Muestra!$D$3:$D$268,"=52")</f>
        <v>62</v>
      </c>
      <c r="C200" s="87">
        <f t="shared" si="13"/>
        <v>23.30827067669173</v>
      </c>
    </row>
    <row r="201" spans="1:3" ht="12.75">
      <c r="A201" s="93">
        <v>53</v>
      </c>
      <c r="B201" s="4">
        <f>COUNTIF(Muestra!$D$3:$D$268,"=53")</f>
        <v>53</v>
      </c>
      <c r="C201" s="87">
        <f t="shared" si="13"/>
        <v>19.924812030075188</v>
      </c>
    </row>
    <row r="202" spans="1:3" ht="12.75">
      <c r="A202" s="276">
        <v>54</v>
      </c>
      <c r="B202" s="4">
        <f>COUNTIF(Muestra!$D$3:$D$268,"=54")</f>
        <v>50</v>
      </c>
      <c r="C202" s="87">
        <f t="shared" si="13"/>
        <v>18.796992481203006</v>
      </c>
    </row>
    <row r="203" spans="1:3" ht="12.75">
      <c r="A203" s="93">
        <v>55</v>
      </c>
      <c r="B203" s="4">
        <f>COUNTIF(Muestra!$D$3:$D$268,"=55")</f>
        <v>41</v>
      </c>
      <c r="C203" s="87">
        <f t="shared" si="13"/>
        <v>15.413533834586467</v>
      </c>
    </row>
    <row r="204" spans="1:3" ht="13.5" thickBot="1">
      <c r="A204" s="277">
        <v>56</v>
      </c>
      <c r="B204" s="55">
        <f>COUNTIF(Muestra!$D$3:$D$268,"=56")</f>
        <v>15</v>
      </c>
      <c r="C204" s="88">
        <f t="shared" si="13"/>
        <v>5.639097744360902</v>
      </c>
    </row>
    <row r="205" spans="1:3" ht="12.75">
      <c r="A205" s="94" t="s">
        <v>101</v>
      </c>
      <c r="B205" s="7">
        <f>SUM(B198:B204)</f>
        <v>266</v>
      </c>
      <c r="C205" s="85">
        <f>SUM(C198:C204)</f>
        <v>100</v>
      </c>
    </row>
    <row r="226" ht="12.75">
      <c r="A226" s="200" t="s">
        <v>254</v>
      </c>
    </row>
    <row r="227" spans="1:5" ht="13.5" thickBot="1">
      <c r="A227" s="335" t="s">
        <v>36</v>
      </c>
      <c r="B227" s="367" t="s">
        <v>104</v>
      </c>
      <c r="C227" s="367" t="s">
        <v>103</v>
      </c>
      <c r="D227" s="368" t="s">
        <v>105</v>
      </c>
      <c r="E227" s="18"/>
    </row>
    <row r="228" spans="1:5" ht="13.5" thickTop="1">
      <c r="A228" s="369" t="s">
        <v>102</v>
      </c>
      <c r="B228" s="7">
        <f>COUNT(Muestra!$C$275:$C$404)</f>
        <v>130</v>
      </c>
      <c r="C228" s="7">
        <f>COUNT(Muestra!$C$405:$C$540)</f>
        <v>136</v>
      </c>
      <c r="D228" s="85">
        <f>SUM(B228:C228)</f>
        <v>266</v>
      </c>
      <c r="E228" s="18"/>
    </row>
    <row r="229" spans="1:5" ht="12.75">
      <c r="A229" s="95"/>
      <c r="E229" s="18"/>
    </row>
    <row r="230" spans="1:5" ht="12.75">
      <c r="A230" s="95"/>
      <c r="E230" s="18"/>
    </row>
    <row r="231" spans="1:5" ht="12.75">
      <c r="A231" s="95"/>
      <c r="E231" s="18"/>
    </row>
    <row r="232" spans="1:5" ht="13.5" thickBot="1">
      <c r="A232" s="102" t="s">
        <v>36</v>
      </c>
      <c r="B232" s="38" t="s">
        <v>104</v>
      </c>
      <c r="C232" s="103" t="s">
        <v>103</v>
      </c>
      <c r="D232" s="38" t="s">
        <v>105</v>
      </c>
      <c r="E232" s="38" t="s">
        <v>110</v>
      </c>
    </row>
    <row r="233" spans="1:5" ht="13.5" thickTop="1">
      <c r="A233" s="370" t="s">
        <v>107</v>
      </c>
      <c r="B233" s="84">
        <f>B228*100/$D$228</f>
        <v>48.87218045112782</v>
      </c>
      <c r="C233" s="98">
        <f>C228*100/$D$228</f>
        <v>51.12781954887218</v>
      </c>
      <c r="D233" s="4">
        <f>SUM(B233:C233)</f>
        <v>100</v>
      </c>
      <c r="E233" s="107"/>
    </row>
    <row r="234" spans="1:5" ht="12.75">
      <c r="A234" s="371" t="s">
        <v>108</v>
      </c>
      <c r="B234" s="4"/>
      <c r="C234" s="15"/>
      <c r="D234" s="4"/>
      <c r="E234" s="107"/>
    </row>
    <row r="235" spans="1:5" ht="13.5" thickBot="1">
      <c r="A235" s="372" t="s">
        <v>56</v>
      </c>
      <c r="B235" s="96">
        <f>AVERAGE(Muestra!$D$275:$D$404)</f>
        <v>52.94615384615385</v>
      </c>
      <c r="C235" s="99">
        <f>AVERAGE(Muestra!$D$405:$D$540)</f>
        <v>53.169117647058826</v>
      </c>
      <c r="D235" s="366">
        <f>(B235*$B$228+C235*$C$228)/($B$228+$C$228)</f>
        <v>53.06015037593985</v>
      </c>
      <c r="E235" s="109">
        <f>C13</f>
        <v>53.06015037593985</v>
      </c>
    </row>
    <row r="236" spans="1:5" ht="13.5" thickTop="1">
      <c r="A236" s="372" t="s">
        <v>106</v>
      </c>
      <c r="B236" s="17">
        <f>STDEV(Muestra!$D$275:$D$404)</f>
        <v>1.3770631510153422</v>
      </c>
      <c r="C236" s="100">
        <f>STDEV(Muestra!$D$405:$D$540)</f>
        <v>1.6933645975190175</v>
      </c>
      <c r="D236" s="17">
        <f>STDEV(Muestra!$D$275:$D$540)</f>
        <v>1.5480207618725887</v>
      </c>
      <c r="E236" s="107"/>
    </row>
    <row r="237" spans="1:5" ht="12.75">
      <c r="A237" s="371" t="s">
        <v>109</v>
      </c>
      <c r="B237" s="4"/>
      <c r="C237" s="15"/>
      <c r="D237" s="4"/>
      <c r="E237" s="107"/>
    </row>
    <row r="238" spans="1:5" ht="13.5" thickBot="1">
      <c r="A238" s="372" t="s">
        <v>56</v>
      </c>
      <c r="B238" s="17">
        <f>AVERAGE(Muestra!$E$275:$E$404)</f>
        <v>3.459584615384614</v>
      </c>
      <c r="C238" s="100">
        <f>AVERAGE(Muestra!$E$405:$E$540)</f>
        <v>3.437205882352943</v>
      </c>
      <c r="D238" s="17">
        <f>(B238*$B$228+C238*$C$228)/($B$228+$C$228)</f>
        <v>3.448142857142858</v>
      </c>
      <c r="E238" s="109">
        <f>D13</f>
        <v>3.4481428571428565</v>
      </c>
    </row>
    <row r="239" spans="1:5" ht="13.5" thickTop="1">
      <c r="A239" s="373" t="s">
        <v>106</v>
      </c>
      <c r="B239" s="97">
        <f>STDEV(Muestra!$E$275:$E$404)</f>
        <v>0.5289752823846235</v>
      </c>
      <c r="C239" s="101">
        <f>STDEV(Muestra!$E$405:$E$540)</f>
        <v>0.5501359713090004</v>
      </c>
      <c r="D239" s="97">
        <f>STDEV(Muestra!$E$275:$E$540)</f>
        <v>0.5389966099639074</v>
      </c>
      <c r="E239" s="108"/>
    </row>
    <row r="242" ht="12.75">
      <c r="A242" s="200" t="s">
        <v>111</v>
      </c>
    </row>
    <row r="243" spans="1:4" ht="13.5" thickBot="1">
      <c r="A243" s="335" t="s">
        <v>112</v>
      </c>
      <c r="B243" s="111"/>
      <c r="C243" s="111"/>
      <c r="D243" s="20"/>
    </row>
    <row r="244" spans="1:4" ht="13.5" thickTop="1">
      <c r="A244" s="371" t="s">
        <v>113</v>
      </c>
      <c r="B244" s="15"/>
      <c r="C244" s="15"/>
      <c r="D244" s="110">
        <f>'C. Resultados'!B228</f>
        <v>130</v>
      </c>
    </row>
    <row r="245" spans="1:4" ht="12.75">
      <c r="A245" s="371" t="s">
        <v>114</v>
      </c>
      <c r="B245" s="15"/>
      <c r="C245" s="15"/>
      <c r="D245" s="110">
        <v>0.5</v>
      </c>
    </row>
    <row r="246" spans="1:4" ht="12.75">
      <c r="A246" s="371" t="s">
        <v>93</v>
      </c>
      <c r="B246" s="15"/>
      <c r="C246" s="15"/>
      <c r="D246" s="110">
        <f>'C. Resultados'!D228</f>
        <v>266</v>
      </c>
    </row>
    <row r="247" spans="1:4" ht="12.75">
      <c r="A247" s="371" t="s">
        <v>115</v>
      </c>
      <c r="B247" s="15"/>
      <c r="C247" s="15"/>
      <c r="D247" s="74">
        <f>-(ABS(D244-D246*D245)-0.5)/SQRT(D246*D245*D245)</f>
        <v>-0.3065696697424829</v>
      </c>
    </row>
    <row r="248" spans="1:4" ht="12.75">
      <c r="A248" s="369" t="s">
        <v>116</v>
      </c>
      <c r="B248" s="43"/>
      <c r="C248" s="43"/>
      <c r="D248" s="112">
        <f>NORMSDIST(D247)</f>
        <v>0.3795854713321609</v>
      </c>
    </row>
    <row r="253" ht="12.75">
      <c r="A253" s="354" t="s">
        <v>273</v>
      </c>
    </row>
    <row r="254" spans="1:5" ht="13.5" thickBot="1">
      <c r="A254" s="374"/>
      <c r="B254" s="375" t="s">
        <v>104</v>
      </c>
      <c r="C254" s="376" t="s">
        <v>103</v>
      </c>
      <c r="D254" s="375" t="s">
        <v>101</v>
      </c>
      <c r="E254" s="377" t="s">
        <v>274</v>
      </c>
    </row>
    <row r="255" spans="1:5" ht="13.5" thickTop="1">
      <c r="A255" s="378" t="s">
        <v>271</v>
      </c>
      <c r="B255" s="379">
        <f>B228</f>
        <v>130</v>
      </c>
      <c r="C255" s="380">
        <f>C228</f>
        <v>136</v>
      </c>
      <c r="D255" s="379">
        <f>SUM(B255:C255)</f>
        <v>266</v>
      </c>
      <c r="E255" s="381"/>
    </row>
    <row r="256" spans="1:5" ht="12.75">
      <c r="A256" s="382" t="s">
        <v>204</v>
      </c>
      <c r="B256" s="379">
        <f>D255/2</f>
        <v>133</v>
      </c>
      <c r="C256" s="380">
        <f>D255/2</f>
        <v>133</v>
      </c>
      <c r="D256" s="379"/>
      <c r="E256" s="381"/>
    </row>
    <row r="257" spans="1:5" ht="12.75">
      <c r="A257" s="382" t="s">
        <v>92</v>
      </c>
      <c r="B257" s="379">
        <v>0.5</v>
      </c>
      <c r="C257" s="380">
        <v>0.5</v>
      </c>
      <c r="D257" s="379"/>
      <c r="E257" s="381"/>
    </row>
    <row r="258" spans="1:5" ht="13.5" thickBot="1">
      <c r="A258" s="382" t="s">
        <v>272</v>
      </c>
      <c r="B258" s="383">
        <f>(ABS(B255-B256)-0.5)^2/B256</f>
        <v>0.046992481203007516</v>
      </c>
      <c r="C258" s="384">
        <f>(ABS(C255-C256)-0.5)^2/C256</f>
        <v>0.046992481203007516</v>
      </c>
      <c r="D258" s="389">
        <f>SUM(B258:C258)</f>
        <v>0.09398496240601503</v>
      </c>
      <c r="E258" s="390">
        <f>SQRT(D258)</f>
        <v>0.3065696697424829</v>
      </c>
    </row>
    <row r="259" spans="1:5" ht="12.75">
      <c r="A259" s="385"/>
      <c r="B259" s="386"/>
      <c r="C259" s="387" t="s">
        <v>136</v>
      </c>
      <c r="D259" s="388">
        <f>CHIDIST(D258,2-1)</f>
        <v>0.759170942845781</v>
      </c>
      <c r="E259" s="391">
        <f>D259/2</f>
        <v>0.3795854714228905</v>
      </c>
    </row>
    <row r="265" spans="1:3" ht="13.5" thickBot="1">
      <c r="A265" s="392" t="s">
        <v>126</v>
      </c>
      <c r="B265" s="393"/>
      <c r="C265" s="395"/>
    </row>
    <row r="266" spans="1:3" ht="13.5" thickTop="1">
      <c r="A266" s="394" t="s">
        <v>120</v>
      </c>
      <c r="B266" s="380"/>
      <c r="C266" s="379">
        <f>'C. Resultados'!B228</f>
        <v>130</v>
      </c>
    </row>
    <row r="267" spans="1:3" ht="12.75">
      <c r="A267" s="394" t="s">
        <v>121</v>
      </c>
      <c r="B267" s="380"/>
      <c r="C267" s="379">
        <f>'C. Resultados'!C228</f>
        <v>136</v>
      </c>
    </row>
    <row r="268" spans="1:6" ht="12.75">
      <c r="A268" s="394" t="s">
        <v>122</v>
      </c>
      <c r="B268" s="380"/>
      <c r="C268" s="396">
        <f>'C. Resultados'!B236^2</f>
        <v>1.896302921884303</v>
      </c>
      <c r="F268" s="76"/>
    </row>
    <row r="269" spans="1:4" ht="12.75">
      <c r="A269" s="394" t="s">
        <v>123</v>
      </c>
      <c r="B269" s="380"/>
      <c r="C269" s="396">
        <f>'C. Resultados'!C236^2</f>
        <v>2.867483660130744</v>
      </c>
      <c r="D269" s="113"/>
    </row>
    <row r="270" spans="1:3" ht="12.75">
      <c r="A270" s="394" t="s">
        <v>118</v>
      </c>
      <c r="B270" s="380"/>
      <c r="C270" s="396">
        <f>(C268*(C266-1)+C269*(C267-1))/(C266+C267-2)</f>
        <v>2.392929435760324</v>
      </c>
    </row>
    <row r="271" spans="1:3" ht="12.75">
      <c r="A271" s="394" t="s">
        <v>275</v>
      </c>
      <c r="B271" s="380"/>
      <c r="C271" s="396">
        <f>SQRT(C270*(1/C266+1/C267))</f>
        <v>0.1897425067991863</v>
      </c>
    </row>
    <row r="272" spans="1:4" ht="12.75">
      <c r="A272" s="394" t="s">
        <v>124</v>
      </c>
      <c r="B272" s="380"/>
      <c r="C272" s="397">
        <f>'C. Resultados'!B235</f>
        <v>52.94615384615385</v>
      </c>
      <c r="D272" s="76"/>
    </row>
    <row r="273" spans="1:3" ht="12.75">
      <c r="A273" s="394" t="s">
        <v>125</v>
      </c>
      <c r="B273" s="380"/>
      <c r="C273" s="397">
        <f>'C. Resultados'!C235</f>
        <v>53.169117647058826</v>
      </c>
    </row>
    <row r="274" spans="1:3" ht="12.75">
      <c r="A274" s="394" t="s">
        <v>119</v>
      </c>
      <c r="B274" s="380"/>
      <c r="C274" s="398">
        <f>ABS(C272-C273)/C271</f>
        <v>1.175086197954322</v>
      </c>
    </row>
    <row r="275" spans="1:3" ht="12.75">
      <c r="A275" s="394" t="s">
        <v>117</v>
      </c>
      <c r="B275" s="380"/>
      <c r="C275" s="400">
        <f>TDIST(C274,264,2)</f>
        <v>0.2410189700343719</v>
      </c>
    </row>
    <row r="276" spans="1:3" ht="12.75">
      <c r="A276" s="399" t="s">
        <v>276</v>
      </c>
      <c r="B276" s="43"/>
      <c r="C276" s="401">
        <f>TTEST(Muestra!D275:D404,Muestra!D405:D540,2,2)</f>
        <v>0.2410189700343719</v>
      </c>
    </row>
    <row r="281" spans="1:3" ht="13.5" thickBot="1">
      <c r="A281" s="392" t="s">
        <v>277</v>
      </c>
      <c r="B281" s="393"/>
      <c r="C281" s="395"/>
    </row>
    <row r="282" spans="1:3" ht="13.5" thickTop="1">
      <c r="A282" s="394" t="s">
        <v>120</v>
      </c>
      <c r="B282" s="380"/>
      <c r="C282" s="379">
        <f>C266</f>
        <v>130</v>
      </c>
    </row>
    <row r="283" spans="1:3" ht="12.75">
      <c r="A283" s="394" t="s">
        <v>121</v>
      </c>
      <c r="B283" s="380"/>
      <c r="C283" s="379">
        <f>C267</f>
        <v>136</v>
      </c>
    </row>
    <row r="284" spans="1:3" ht="12.75">
      <c r="A284" s="394" t="s">
        <v>122</v>
      </c>
      <c r="B284" s="380"/>
      <c r="C284" s="396">
        <f>B239^2</f>
        <v>0.2798148493738922</v>
      </c>
    </row>
    <row r="285" spans="1:3" ht="12.75">
      <c r="A285" s="394" t="s">
        <v>123</v>
      </c>
      <c r="B285" s="380"/>
      <c r="C285" s="396">
        <f>C239^2</f>
        <v>0.3026495869280973</v>
      </c>
    </row>
    <row r="286" spans="1:3" ht="12.75">
      <c r="A286" s="394" t="s">
        <v>118</v>
      </c>
      <c r="B286" s="380"/>
      <c r="C286" s="396">
        <f>(C284*(C282-1)+C285*(C283-1))/(C282+C283-2)</f>
        <v>0.2914917038050198</v>
      </c>
    </row>
    <row r="287" spans="1:3" ht="12.75">
      <c r="A287" s="394" t="s">
        <v>275</v>
      </c>
      <c r="B287" s="380"/>
      <c r="C287" s="396">
        <f>SQRT(C286*(1/C282+1/C283))</f>
        <v>0.06622360022628435</v>
      </c>
    </row>
    <row r="288" spans="1:7" ht="12.75">
      <c r="A288" s="394" t="s">
        <v>124</v>
      </c>
      <c r="B288" s="380"/>
      <c r="C288" s="405">
        <f>B238</f>
        <v>3.459584615384614</v>
      </c>
      <c r="F288" s="76"/>
      <c r="G288" s="76"/>
    </row>
    <row r="289" spans="1:4" ht="12.75">
      <c r="A289" s="394" t="s">
        <v>125</v>
      </c>
      <c r="B289" s="380"/>
      <c r="C289" s="405">
        <f>C238</f>
        <v>3.437205882352943</v>
      </c>
      <c r="D289" s="77"/>
    </row>
    <row r="290" spans="1:3" ht="12.75">
      <c r="A290" s="394" t="s">
        <v>119</v>
      </c>
      <c r="B290" s="380"/>
      <c r="C290" s="342">
        <f>ABS(C288-C289)/C287</f>
        <v>0.33792685621444846</v>
      </c>
    </row>
    <row r="291" spans="1:3" ht="12.75">
      <c r="A291" s="394" t="s">
        <v>117</v>
      </c>
      <c r="B291" s="380"/>
      <c r="C291" s="406">
        <f>TDIST(C290,264,2)</f>
        <v>0.7356868657919238</v>
      </c>
    </row>
    <row r="292" spans="1:3" ht="12.75">
      <c r="A292" s="399" t="s">
        <v>276</v>
      </c>
      <c r="B292" s="386"/>
      <c r="C292" s="407">
        <f>TTEST(Muestra!E275:E404,Muestra!E405:E540,2,2)</f>
        <v>0.7356868657919238</v>
      </c>
    </row>
    <row r="302" spans="1:2" ht="12.75">
      <c r="A302" s="13" t="s">
        <v>278</v>
      </c>
      <c r="B302" s="13" t="s">
        <v>279</v>
      </c>
    </row>
    <row r="303" spans="1:6" ht="12.75">
      <c r="A303" s="39" t="s">
        <v>128</v>
      </c>
      <c r="B303" s="408" t="s">
        <v>130</v>
      </c>
      <c r="C303" s="409"/>
      <c r="D303" s="410"/>
      <c r="E303" s="658" t="s">
        <v>127</v>
      </c>
      <c r="F303" s="659"/>
    </row>
    <row r="304" spans="1:6" ht="13.5" thickBot="1">
      <c r="A304" s="34" t="s">
        <v>129</v>
      </c>
      <c r="B304" s="40" t="s">
        <v>104</v>
      </c>
      <c r="C304" s="40" t="s">
        <v>103</v>
      </c>
      <c r="D304" s="19" t="s">
        <v>131</v>
      </c>
      <c r="E304" s="118" t="s">
        <v>34</v>
      </c>
      <c r="F304" s="106" t="s">
        <v>35</v>
      </c>
    </row>
    <row r="305" spans="1:6" ht="13.5" thickTop="1">
      <c r="A305" s="60">
        <v>1</v>
      </c>
      <c r="B305" s="33">
        <f>COUNTIF(Muestra!$C$546:$C$595,"=0")</f>
        <v>24</v>
      </c>
      <c r="C305" s="33">
        <f>COUNTIF(Muestra!$C$546:$C$595,"=1")</f>
        <v>26</v>
      </c>
      <c r="D305" s="151">
        <f>C305+B305</f>
        <v>50</v>
      </c>
      <c r="E305" s="99">
        <f>AVERAGE(Muestra!$D$546:$D$595)</f>
        <v>52.64</v>
      </c>
      <c r="F305" s="17">
        <f>AVERAGE(Muestra!$E$546:$E$595)</f>
        <v>2.6950399999999997</v>
      </c>
    </row>
    <row r="306" spans="1:6" ht="12.75">
      <c r="A306" s="60">
        <v>2</v>
      </c>
      <c r="B306" s="4">
        <f>COUNTIF(Muestra!$C$596:$C$676,"=0")</f>
        <v>40</v>
      </c>
      <c r="C306" s="4">
        <f>COUNTIF(Muestra!$C$596:$C$676,"=1")</f>
        <v>41</v>
      </c>
      <c r="D306" s="151">
        <f>C306+B306</f>
        <v>81</v>
      </c>
      <c r="E306" s="99">
        <f>AVERAGE(Muestra!$D$596:$D$676)</f>
        <v>53.01234567901235</v>
      </c>
      <c r="F306" s="17">
        <f>AVERAGE(Muestra!$E$596:$E$676)</f>
        <v>3.26720987654321</v>
      </c>
    </row>
    <row r="307" spans="1:6" ht="12.75">
      <c r="A307" s="60">
        <v>3</v>
      </c>
      <c r="B307" s="4">
        <f>COUNTIF(Muestra!$C$677:$C$759,"=0")</f>
        <v>42</v>
      </c>
      <c r="C307" s="4">
        <f>COUNTIF(Muestra!$C$677:$C$759,"=1")</f>
        <v>41</v>
      </c>
      <c r="D307" s="151">
        <f>C307+B307</f>
        <v>83</v>
      </c>
      <c r="E307" s="99">
        <f>AVERAGE(Muestra!$D$677:$D$759)</f>
        <v>53.33734939759036</v>
      </c>
      <c r="F307" s="17">
        <f>AVERAGE(Muestra!$E$677:$E$759)</f>
        <v>3.621686746987952</v>
      </c>
    </row>
    <row r="308" spans="1:6" ht="13.5" thickBot="1">
      <c r="A308" s="280">
        <v>4</v>
      </c>
      <c r="B308" s="55">
        <f>COUNTIF(Muestra!$C$760:$C$811,"=0")</f>
        <v>24</v>
      </c>
      <c r="C308" s="55">
        <f>COUNTIF(Muestra!$C$760:$C$811,"=1")</f>
        <v>28</v>
      </c>
      <c r="D308" s="412">
        <f>C308+B308</f>
        <v>52</v>
      </c>
      <c r="E308" s="413">
        <f>AVERAGE(Muestra!$D$760:$D$811)</f>
        <v>53.09615384615385</v>
      </c>
      <c r="F308" s="37">
        <f>AVERAGE(Muestra!$E$760:$E$811)</f>
        <v>4.1771153846153855</v>
      </c>
    </row>
    <row r="309" spans="1:6" ht="12.75">
      <c r="A309" s="94" t="s">
        <v>101</v>
      </c>
      <c r="B309" s="120">
        <f>SUM(B305:B308)</f>
        <v>130</v>
      </c>
      <c r="C309" s="120">
        <f>SUM(C305:C308)</f>
        <v>136</v>
      </c>
      <c r="D309" s="411">
        <f>C309+B309</f>
        <v>266</v>
      </c>
      <c r="E309" s="116">
        <f>(E305*($B$305+$C$305)+E306*($B$306+$C$306)+E307*($B$307+$C$307)+E308*($B$308+$C$308))/($B$309+$C$309)</f>
        <v>53.06015037593985</v>
      </c>
      <c r="F309" s="119">
        <f>(F305*($B$305+$C$305)+F306*($B$306+$C$306)+F307*($B$307+$C$307)+F308*($B$308+$C$308))/($B$309+$C$309)</f>
        <v>3.4481428571428574</v>
      </c>
    </row>
    <row r="310" spans="1:5" ht="12.75">
      <c r="A310" s="95"/>
      <c r="C310" s="121"/>
      <c r="E310" s="18"/>
    </row>
    <row r="311" spans="1:6" ht="12.75">
      <c r="A311" s="39" t="s">
        <v>128</v>
      </c>
      <c r="B311" s="658" t="s">
        <v>132</v>
      </c>
      <c r="C311" s="660"/>
      <c r="D311" s="659"/>
      <c r="E311" s="658" t="s">
        <v>127</v>
      </c>
      <c r="F311" s="659"/>
    </row>
    <row r="312" spans="1:6" ht="13.5" thickBot="1">
      <c r="A312" s="34" t="s">
        <v>129</v>
      </c>
      <c r="B312" s="106" t="s">
        <v>104</v>
      </c>
      <c r="C312" s="118" t="s">
        <v>103</v>
      </c>
      <c r="D312" s="414" t="s">
        <v>131</v>
      </c>
      <c r="E312" s="118" t="s">
        <v>34</v>
      </c>
      <c r="F312" s="106" t="s">
        <v>35</v>
      </c>
    </row>
    <row r="313" spans="1:6" ht="13.5" thickTop="1">
      <c r="A313" s="60">
        <v>1</v>
      </c>
      <c r="B313" s="84">
        <f aca="true" t="shared" si="14" ref="B313:C316">(B305*100/($B$309+$C$309))</f>
        <v>9.022556390977444</v>
      </c>
      <c r="C313" s="98">
        <f t="shared" si="14"/>
        <v>9.774436090225564</v>
      </c>
      <c r="D313" s="84">
        <f>C313+B313</f>
        <v>18.796992481203006</v>
      </c>
      <c r="E313" s="99">
        <f>AVERAGE(Muestra!$D$546:$D$595)</f>
        <v>52.64</v>
      </c>
      <c r="F313" s="17">
        <f>AVERAGE(Muestra!$E$546:$E$595)</f>
        <v>2.6950399999999997</v>
      </c>
    </row>
    <row r="314" spans="1:6" ht="12.75">
      <c r="A314" s="60">
        <v>2</v>
      </c>
      <c r="B314" s="84">
        <f t="shared" si="14"/>
        <v>15.037593984962406</v>
      </c>
      <c r="C314" s="98">
        <f t="shared" si="14"/>
        <v>15.413533834586467</v>
      </c>
      <c r="D314" s="84">
        <f>C314+B314</f>
        <v>30.451127819548873</v>
      </c>
      <c r="E314" s="99">
        <f>AVERAGE(Muestra!$D$596:$D$676)</f>
        <v>53.01234567901235</v>
      </c>
      <c r="F314" s="17">
        <f>AVERAGE(Muestra!$E$596:$E$676)</f>
        <v>3.26720987654321</v>
      </c>
    </row>
    <row r="315" spans="1:6" ht="12.75">
      <c r="A315" s="60">
        <v>3</v>
      </c>
      <c r="B315" s="84">
        <f t="shared" si="14"/>
        <v>15.789473684210526</v>
      </c>
      <c r="C315" s="98">
        <f t="shared" si="14"/>
        <v>15.413533834586467</v>
      </c>
      <c r="D315" s="84">
        <f>C315+B315</f>
        <v>31.203007518796994</v>
      </c>
      <c r="E315" s="99">
        <f>AVERAGE(Muestra!$D$677:$D$759)</f>
        <v>53.33734939759036</v>
      </c>
      <c r="F315" s="17">
        <f>AVERAGE(Muestra!$E$677:$E$759)</f>
        <v>3.621686746987952</v>
      </c>
    </row>
    <row r="316" spans="1:6" ht="13.5" thickBot="1">
      <c r="A316" s="280">
        <v>4</v>
      </c>
      <c r="B316" s="343">
        <f t="shared" si="14"/>
        <v>9.022556390977444</v>
      </c>
      <c r="C316" s="415">
        <f t="shared" si="14"/>
        <v>10.526315789473685</v>
      </c>
      <c r="D316" s="343">
        <f>C316+B316</f>
        <v>19.548872180451127</v>
      </c>
      <c r="E316" s="413">
        <f>AVERAGE(Muestra!$D$760:$D$811)</f>
        <v>53.09615384615385</v>
      </c>
      <c r="F316" s="37">
        <f>AVERAGE(Muestra!$E$760:$E$811)</f>
        <v>4.1771153846153855</v>
      </c>
    </row>
    <row r="317" spans="1:6" ht="12.75">
      <c r="A317" s="94" t="s">
        <v>101</v>
      </c>
      <c r="B317" s="41">
        <f>SUM(B313:B316)</f>
        <v>48.87218045112782</v>
      </c>
      <c r="C317" s="41">
        <f>SUM(C313:C316)</f>
        <v>51.12781954887218</v>
      </c>
      <c r="D317" s="41">
        <f>SUM(D313:D316)</f>
        <v>100</v>
      </c>
      <c r="E317" s="117">
        <f>AVERAGE(Muestra!D275:D540)</f>
        <v>53.06015037593985</v>
      </c>
      <c r="F317" s="119">
        <f>AVERAGE(Muestra!E275:E540)</f>
        <v>3.4481428571428543</v>
      </c>
    </row>
    <row r="320" spans="1:4" ht="13.5" thickBot="1">
      <c r="A320" s="416" t="s">
        <v>280</v>
      </c>
      <c r="B320" s="417"/>
      <c r="C320" s="417"/>
      <c r="D320" s="418"/>
    </row>
    <row r="321" spans="1:4" ht="12.75">
      <c r="A321" s="371" t="s">
        <v>281</v>
      </c>
      <c r="B321" s="15"/>
      <c r="C321" s="15"/>
      <c r="D321" s="33">
        <f>D309</f>
        <v>266</v>
      </c>
    </row>
    <row r="322" spans="1:4" ht="12.75">
      <c r="A322" s="371" t="s">
        <v>282</v>
      </c>
      <c r="B322" s="15"/>
      <c r="C322" s="15"/>
      <c r="D322" s="4">
        <v>4</v>
      </c>
    </row>
    <row r="323" spans="1:4" ht="12.75">
      <c r="A323" s="369" t="s">
        <v>280</v>
      </c>
      <c r="B323" s="43"/>
      <c r="C323" s="43"/>
      <c r="D323" s="7">
        <f>D321/D322</f>
        <v>66.5</v>
      </c>
    </row>
    <row r="327" ht="12.75">
      <c r="A327" s="200" t="s">
        <v>133</v>
      </c>
    </row>
    <row r="328" spans="1:4" ht="12.75">
      <c r="A328" s="419" t="s">
        <v>128</v>
      </c>
      <c r="B328" s="661" t="s">
        <v>49</v>
      </c>
      <c r="C328" s="662"/>
      <c r="D328" s="420" t="s">
        <v>134</v>
      </c>
    </row>
    <row r="329" spans="1:4" ht="13.5" thickBot="1">
      <c r="A329" s="421" t="s">
        <v>129</v>
      </c>
      <c r="B329" s="375" t="s">
        <v>50</v>
      </c>
      <c r="C329" s="422" t="s">
        <v>77</v>
      </c>
      <c r="D329" s="423" t="s">
        <v>135</v>
      </c>
    </row>
    <row r="330" spans="1:4" ht="13.5" thickTop="1">
      <c r="A330" s="424">
        <v>1</v>
      </c>
      <c r="B330" s="425">
        <f>'C. Resultados'!B305+'C. Resultados'!C305</f>
        <v>50</v>
      </c>
      <c r="C330" s="380">
        <f>0.25*('C. Resultados'!$B$309+'C. Resultados'!$C$309)</f>
        <v>66.5</v>
      </c>
      <c r="D330" s="400">
        <f>(ABS(B330-C330)-0.5)^2/C330</f>
        <v>3.8496240601503757</v>
      </c>
    </row>
    <row r="331" spans="1:4" ht="12.75">
      <c r="A331" s="424">
        <v>2</v>
      </c>
      <c r="B331" s="425">
        <f>'C. Resultados'!B306+'C. Resultados'!C306</f>
        <v>81</v>
      </c>
      <c r="C331" s="380">
        <f>0.25*('C. Resultados'!$B$309+'C. Resultados'!$C$309)</f>
        <v>66.5</v>
      </c>
      <c r="D331" s="400">
        <f>(ABS(B331-C331)-0.5)^2/C331</f>
        <v>2.9473684210526314</v>
      </c>
    </row>
    <row r="332" spans="1:4" ht="12.75">
      <c r="A332" s="424">
        <v>3</v>
      </c>
      <c r="B332" s="425">
        <f>'C. Resultados'!B307+'C. Resultados'!C307</f>
        <v>83</v>
      </c>
      <c r="C332" s="380">
        <f>0.25*('C. Resultados'!$B$309+'C. Resultados'!$C$309)</f>
        <v>66.5</v>
      </c>
      <c r="D332" s="400">
        <f>(ABS(B332-C332)-0.5)^2/C332</f>
        <v>3.8496240601503757</v>
      </c>
    </row>
    <row r="333" spans="1:4" ht="13.5" thickBot="1">
      <c r="A333" s="426">
        <v>4</v>
      </c>
      <c r="B333" s="427">
        <f>'C. Resultados'!B308+'C. Resultados'!C308</f>
        <v>52</v>
      </c>
      <c r="C333" s="428">
        <f>0.25*('C. Resultados'!$B$309+'C. Resultados'!$C$309)</f>
        <v>66.5</v>
      </c>
      <c r="D333" s="400">
        <f>(ABS(B333-C333)-0.5)^2/C333</f>
        <v>2.9473684210526314</v>
      </c>
    </row>
    <row r="334" spans="1:4" ht="12.75">
      <c r="A334" s="382" t="s">
        <v>101</v>
      </c>
      <c r="B334" s="430">
        <f>SUM(B330:B333)</f>
        <v>266</v>
      </c>
      <c r="C334" s="431">
        <f>SUM(C330:C333)</f>
        <v>266</v>
      </c>
      <c r="D334" s="432">
        <f>SUM(D330:D333)</f>
        <v>13.593984962406015</v>
      </c>
    </row>
    <row r="335" spans="1:4" ht="12.75">
      <c r="A335" s="433"/>
      <c r="B335" s="434" t="s">
        <v>137</v>
      </c>
      <c r="C335" s="434"/>
      <c r="D335" s="435">
        <f>CHIDIST(D334,3)</f>
        <v>0.0035132864622722747</v>
      </c>
    </row>
    <row r="338" ht="12.75">
      <c r="A338" s="443" t="s">
        <v>284</v>
      </c>
    </row>
    <row r="339" spans="1:4" ht="12.75">
      <c r="A339" s="437"/>
      <c r="B339" s="662" t="s">
        <v>49</v>
      </c>
      <c r="C339" s="662"/>
      <c r="D339" s="420" t="s">
        <v>134</v>
      </c>
    </row>
    <row r="340" spans="1:4" ht="13.5" thickBot="1">
      <c r="A340" s="438" t="s">
        <v>172</v>
      </c>
      <c r="B340" s="376" t="s">
        <v>50</v>
      </c>
      <c r="C340" s="374" t="s">
        <v>77</v>
      </c>
      <c r="D340" s="423" t="s">
        <v>135</v>
      </c>
    </row>
    <row r="341" spans="1:6" ht="13.5" thickTop="1">
      <c r="A341" s="439" t="s">
        <v>138</v>
      </c>
      <c r="B341" s="440">
        <f>B330</f>
        <v>50</v>
      </c>
      <c r="C341" s="441">
        <f>(B341+B342)/2</f>
        <v>65.5</v>
      </c>
      <c r="D341" s="400">
        <f>(ABS(B341-C341)-0.5)^2/C341</f>
        <v>3.435114503816794</v>
      </c>
      <c r="F341" s="113"/>
    </row>
    <row r="342" spans="1:4" ht="13.5" thickBot="1">
      <c r="A342" s="444" t="s">
        <v>139</v>
      </c>
      <c r="B342" s="445">
        <f>B331</f>
        <v>81</v>
      </c>
      <c r="C342" s="446">
        <f>C341</f>
        <v>65.5</v>
      </c>
      <c r="D342" s="429">
        <f>(ABS(B342-C342)-0.5)^2/C342</f>
        <v>3.435114503816794</v>
      </c>
    </row>
    <row r="343" spans="1:4" ht="12.75">
      <c r="A343" s="382"/>
      <c r="B343" s="442" t="s">
        <v>283</v>
      </c>
      <c r="C343" s="380"/>
      <c r="D343" s="400">
        <f>SUM(D341:D342)</f>
        <v>6.870229007633588</v>
      </c>
    </row>
    <row r="344" spans="1:6" ht="12.75">
      <c r="A344" s="433"/>
      <c r="B344" s="434" t="s">
        <v>136</v>
      </c>
      <c r="C344" s="386"/>
      <c r="D344" s="435">
        <f>CHIDIST(D343,2-1)</f>
        <v>0.00876434238819959</v>
      </c>
      <c r="F344" s="402"/>
    </row>
    <row r="347" spans="1:4" ht="12.75">
      <c r="A347" s="419" t="s">
        <v>128</v>
      </c>
      <c r="B347" s="661" t="s">
        <v>49</v>
      </c>
      <c r="C347" s="662"/>
      <c r="D347" s="420" t="s">
        <v>134</v>
      </c>
    </row>
    <row r="348" spans="1:4" ht="13.5" thickBot="1">
      <c r="A348" s="421" t="s">
        <v>129</v>
      </c>
      <c r="B348" s="375" t="s">
        <v>50</v>
      </c>
      <c r="C348" s="422" t="s">
        <v>77</v>
      </c>
      <c r="D348" s="423" t="s">
        <v>135</v>
      </c>
    </row>
    <row r="349" spans="1:4" ht="13.5" thickTop="1">
      <c r="A349" s="439" t="s">
        <v>138</v>
      </c>
      <c r="B349" s="440">
        <f>B330</f>
        <v>50</v>
      </c>
      <c r="C349" s="441">
        <f>(B349+B350)/2</f>
        <v>66.5</v>
      </c>
      <c r="D349" s="400">
        <f>(ABS(B349-C349)-0.05)^2/C349</f>
        <v>4.069210526315789</v>
      </c>
    </row>
    <row r="350" spans="1:4" ht="13.5" thickBot="1">
      <c r="A350" s="444" t="s">
        <v>140</v>
      </c>
      <c r="B350" s="445">
        <f>B332</f>
        <v>83</v>
      </c>
      <c r="C350" s="446">
        <f>C349</f>
        <v>66.5</v>
      </c>
      <c r="D350" s="429">
        <f>(ABS(B350-C350)-0.05)^2/C350</f>
        <v>4.069210526315789</v>
      </c>
    </row>
    <row r="351" spans="1:4" ht="12.75">
      <c r="A351" s="382"/>
      <c r="B351" s="442" t="s">
        <v>283</v>
      </c>
      <c r="C351" s="380"/>
      <c r="D351" s="396">
        <f>SUM(D349:D350)</f>
        <v>8.138421052631578</v>
      </c>
    </row>
    <row r="352" spans="1:4" ht="12.75">
      <c r="A352" s="433"/>
      <c r="B352" s="434" t="s">
        <v>136</v>
      </c>
      <c r="C352" s="386"/>
      <c r="D352" s="341">
        <f>CHIDIST(D351,2-1)</f>
        <v>0.004333700661241029</v>
      </c>
    </row>
    <row r="355" spans="1:4" ht="12.75">
      <c r="A355" s="419" t="s">
        <v>128</v>
      </c>
      <c r="B355" s="661" t="s">
        <v>49</v>
      </c>
      <c r="C355" s="662"/>
      <c r="D355" s="420" t="s">
        <v>134</v>
      </c>
    </row>
    <row r="356" spans="1:4" ht="13.5" thickBot="1">
      <c r="A356" s="421" t="s">
        <v>129</v>
      </c>
      <c r="B356" s="375" t="s">
        <v>50</v>
      </c>
      <c r="C356" s="422" t="s">
        <v>77</v>
      </c>
      <c r="D356" s="423" t="s">
        <v>135</v>
      </c>
    </row>
    <row r="357" spans="1:4" ht="13.5" thickTop="1">
      <c r="A357" s="439" t="s">
        <v>138</v>
      </c>
      <c r="B357" s="440">
        <f>B330</f>
        <v>50</v>
      </c>
      <c r="C357" s="441">
        <f>(B357+B358)/2</f>
        <v>51</v>
      </c>
      <c r="D357" s="400">
        <f>(ABS(B357-C357)-0.05)^2/C357</f>
        <v>0.01769607843137255</v>
      </c>
    </row>
    <row r="358" spans="1:4" ht="13.5" thickBot="1">
      <c r="A358" s="444" t="s">
        <v>141</v>
      </c>
      <c r="B358" s="445">
        <f>B333</f>
        <v>52</v>
      </c>
      <c r="C358" s="446">
        <f>C357</f>
        <v>51</v>
      </c>
      <c r="D358" s="429">
        <f>(ABS(B358-C358)-0.05)^2/C358</f>
        <v>0.01769607843137255</v>
      </c>
    </row>
    <row r="359" spans="1:4" ht="12.75">
      <c r="A359" s="382"/>
      <c r="B359" s="442" t="s">
        <v>283</v>
      </c>
      <c r="C359" s="380"/>
      <c r="D359" s="396">
        <f>SUM(D357:D358)</f>
        <v>0.0353921568627451</v>
      </c>
    </row>
    <row r="360" spans="1:4" ht="12.75">
      <c r="A360" s="433"/>
      <c r="B360" s="434" t="s">
        <v>136</v>
      </c>
      <c r="C360" s="386"/>
      <c r="D360" s="341">
        <f>CHIDIST(D359,2-1)</f>
        <v>0.8507762861501087</v>
      </c>
    </row>
    <row r="363" spans="1:4" ht="12.75">
      <c r="A363" s="419" t="s">
        <v>128</v>
      </c>
      <c r="B363" s="661" t="s">
        <v>49</v>
      </c>
      <c r="C363" s="662"/>
      <c r="D363" s="420" t="s">
        <v>134</v>
      </c>
    </row>
    <row r="364" spans="1:4" ht="13.5" thickBot="1">
      <c r="A364" s="421" t="s">
        <v>129</v>
      </c>
      <c r="B364" s="375" t="s">
        <v>50</v>
      </c>
      <c r="C364" s="422" t="s">
        <v>77</v>
      </c>
      <c r="D364" s="423" t="s">
        <v>135</v>
      </c>
    </row>
    <row r="365" spans="1:4" ht="13.5" thickTop="1">
      <c r="A365" s="439" t="s">
        <v>139</v>
      </c>
      <c r="B365" s="440">
        <f>B331</f>
        <v>81</v>
      </c>
      <c r="C365" s="441">
        <f>(B365+B366)/2</f>
        <v>82</v>
      </c>
      <c r="D365" s="400">
        <f>(ABS(B365-C365)-0.05)^2/C365</f>
        <v>0.011006097560975609</v>
      </c>
    </row>
    <row r="366" spans="1:4" ht="13.5" thickBot="1">
      <c r="A366" s="444" t="s">
        <v>140</v>
      </c>
      <c r="B366" s="445">
        <f>B332</f>
        <v>83</v>
      </c>
      <c r="C366" s="446">
        <f>C365</f>
        <v>82</v>
      </c>
      <c r="D366" s="429">
        <f>(ABS(B366-C366)-0.05)^2/C366</f>
        <v>0.011006097560975609</v>
      </c>
    </row>
    <row r="367" spans="1:4" ht="12.75">
      <c r="A367" s="382"/>
      <c r="B367" s="442" t="s">
        <v>283</v>
      </c>
      <c r="C367" s="380"/>
      <c r="D367" s="396">
        <f>SUM(D365:D366)</f>
        <v>0.022012195121951218</v>
      </c>
    </row>
    <row r="368" spans="1:4" ht="12.75">
      <c r="A368" s="433"/>
      <c r="B368" s="434" t="s">
        <v>136</v>
      </c>
      <c r="C368" s="386"/>
      <c r="D368" s="341">
        <f>CHIDIST(D367,2-1)</f>
        <v>0.8820546620915336</v>
      </c>
    </row>
    <row r="371" ht="12.75">
      <c r="A371" s="200" t="s">
        <v>255</v>
      </c>
    </row>
    <row r="372" spans="1:8" ht="12.75">
      <c r="A372" s="200" t="s">
        <v>143</v>
      </c>
      <c r="C372" s="31"/>
      <c r="E372" s="18"/>
      <c r="H372" s="31"/>
    </row>
    <row r="373" spans="1:8" ht="12.75">
      <c r="A373" s="448" t="s">
        <v>144</v>
      </c>
      <c r="B373" s="449"/>
      <c r="C373" s="449"/>
      <c r="D373" s="449"/>
      <c r="E373" s="449"/>
      <c r="F373" s="449"/>
      <c r="G373" s="449"/>
      <c r="H373" s="449"/>
    </row>
    <row r="374" spans="1:8" ht="12.75">
      <c r="A374" s="448"/>
      <c r="B374" s="449"/>
      <c r="C374" s="449"/>
      <c r="D374" s="449"/>
      <c r="E374" s="449"/>
      <c r="F374" s="449"/>
      <c r="G374" s="449"/>
      <c r="H374" s="449"/>
    </row>
    <row r="375" spans="1:8" ht="13.5" thickBot="1">
      <c r="A375" s="448" t="s">
        <v>145</v>
      </c>
      <c r="B375" s="449"/>
      <c r="C375" s="449"/>
      <c r="D375" s="449"/>
      <c r="E375" s="449"/>
      <c r="F375" s="449"/>
      <c r="G375" s="449"/>
      <c r="H375" s="449"/>
    </row>
    <row r="376" spans="1:8" ht="12.75">
      <c r="A376" s="450" t="s">
        <v>146</v>
      </c>
      <c r="B376" s="451" t="s">
        <v>33</v>
      </c>
      <c r="C376" s="451" t="s">
        <v>32</v>
      </c>
      <c r="D376" s="451" t="s">
        <v>56</v>
      </c>
      <c r="E376" s="451" t="s">
        <v>147</v>
      </c>
      <c r="F376" s="449"/>
      <c r="G376" s="449"/>
      <c r="H376" s="449"/>
    </row>
    <row r="377" spans="1:8" ht="12.75">
      <c r="A377" s="452" t="s">
        <v>138</v>
      </c>
      <c r="B377" s="453">
        <v>50</v>
      </c>
      <c r="C377" s="453">
        <v>2632</v>
      </c>
      <c r="D377" s="454">
        <v>52.64</v>
      </c>
      <c r="E377" s="454">
        <v>1.9902040816324393</v>
      </c>
      <c r="F377" s="449"/>
      <c r="G377" s="449"/>
      <c r="H377" s="449"/>
    </row>
    <row r="378" spans="1:8" ht="12.75">
      <c r="A378" s="452" t="s">
        <v>139</v>
      </c>
      <c r="B378" s="453">
        <v>81</v>
      </c>
      <c r="C378" s="453">
        <v>4294</v>
      </c>
      <c r="D378" s="454">
        <v>53.01234567901235</v>
      </c>
      <c r="E378" s="454">
        <v>2.0623456790122874</v>
      </c>
      <c r="F378" s="449"/>
      <c r="G378" s="449"/>
      <c r="H378" s="449"/>
    </row>
    <row r="379" spans="1:8" ht="12.75">
      <c r="A379" s="452" t="s">
        <v>140</v>
      </c>
      <c r="B379" s="453">
        <v>83</v>
      </c>
      <c r="C379" s="453">
        <v>4427</v>
      </c>
      <c r="D379" s="454">
        <v>53.33734939759036</v>
      </c>
      <c r="E379" s="454">
        <v>2.6652953276519304</v>
      </c>
      <c r="F379" s="449"/>
      <c r="G379" s="449"/>
      <c r="H379" s="449"/>
    </row>
    <row r="380" spans="1:8" ht="13.5" thickBot="1">
      <c r="A380" s="455" t="s">
        <v>141</v>
      </c>
      <c r="B380" s="456">
        <v>52</v>
      </c>
      <c r="C380" s="456">
        <v>2761</v>
      </c>
      <c r="D380" s="457">
        <v>53.09615384615385</v>
      </c>
      <c r="E380" s="457">
        <v>2.71606334841607</v>
      </c>
      <c r="F380" s="449"/>
      <c r="G380" s="449"/>
      <c r="H380" s="449"/>
    </row>
    <row r="381" spans="1:8" ht="12.75">
      <c r="A381" s="448"/>
      <c r="B381" s="449"/>
      <c r="C381" s="449"/>
      <c r="D381" s="449"/>
      <c r="E381" s="449"/>
      <c r="F381" s="449"/>
      <c r="G381" s="449"/>
      <c r="H381" s="449"/>
    </row>
    <row r="382" spans="1:8" ht="12.75">
      <c r="A382" s="448"/>
      <c r="B382" s="449"/>
      <c r="C382" s="449"/>
      <c r="D382" s="449"/>
      <c r="E382" s="449"/>
      <c r="F382" s="449"/>
      <c r="G382" s="449"/>
      <c r="H382" s="449"/>
    </row>
    <row r="383" spans="1:8" ht="12.75">
      <c r="A383" s="448" t="s">
        <v>160</v>
      </c>
      <c r="B383" s="449"/>
      <c r="C383" s="449"/>
      <c r="D383" s="449"/>
      <c r="E383" s="449"/>
      <c r="F383" s="449"/>
      <c r="G383" s="449"/>
      <c r="H383" s="449"/>
    </row>
    <row r="384" spans="1:8" ht="12.75">
      <c r="A384" s="458" t="s">
        <v>159</v>
      </c>
      <c r="B384" s="458" t="s">
        <v>152</v>
      </c>
      <c r="C384" s="458" t="s">
        <v>154</v>
      </c>
      <c r="D384" s="458" t="s">
        <v>156</v>
      </c>
      <c r="E384" s="458" t="s">
        <v>36</v>
      </c>
      <c r="F384" s="458" t="s">
        <v>136</v>
      </c>
      <c r="G384" s="663" t="s">
        <v>158</v>
      </c>
      <c r="H384" s="663"/>
    </row>
    <row r="385" spans="1:8" ht="13.5" thickBot="1">
      <c r="A385" s="459" t="s">
        <v>151</v>
      </c>
      <c r="B385" s="459" t="s">
        <v>153</v>
      </c>
      <c r="C385" s="459" t="s">
        <v>155</v>
      </c>
      <c r="D385" s="459" t="s">
        <v>157</v>
      </c>
      <c r="E385" s="459" t="s">
        <v>148</v>
      </c>
      <c r="F385" s="459" t="s">
        <v>148</v>
      </c>
      <c r="G385" s="459">
        <v>0.05</v>
      </c>
      <c r="H385" s="460">
        <v>0.01</v>
      </c>
    </row>
    <row r="386" spans="1:8" ht="13.5" thickTop="1">
      <c r="A386" s="452" t="s">
        <v>149</v>
      </c>
      <c r="B386" s="461">
        <v>15.456492027267814</v>
      </c>
      <c r="C386" s="453">
        <v>3</v>
      </c>
      <c r="D386" s="461">
        <v>5.1521640090892715</v>
      </c>
      <c r="E386" s="461">
        <v>2.1786767964939133</v>
      </c>
      <c r="F386" s="461">
        <v>0.09092866055074394</v>
      </c>
      <c r="G386" s="461">
        <v>2.6390551965960185</v>
      </c>
      <c r="H386" s="462">
        <f>FINV(H385,C386,C387)</f>
        <v>3.857208361899467</v>
      </c>
    </row>
    <row r="387" spans="1:8" ht="12.75">
      <c r="A387" s="452" t="s">
        <v>150</v>
      </c>
      <c r="B387" s="461">
        <v>619.5811019577086</v>
      </c>
      <c r="C387" s="453">
        <v>262</v>
      </c>
      <c r="D387" s="461">
        <v>2.364813366250796</v>
      </c>
      <c r="E387" s="453"/>
      <c r="F387" s="453"/>
      <c r="G387" s="453"/>
      <c r="H387" s="449"/>
    </row>
    <row r="388" spans="1:8" ht="12.75">
      <c r="A388" s="452"/>
      <c r="B388" s="461"/>
      <c r="C388" s="453"/>
      <c r="D388" s="453"/>
      <c r="E388" s="453"/>
      <c r="F388" s="453"/>
      <c r="G388" s="453"/>
      <c r="H388" s="449"/>
    </row>
    <row r="389" spans="1:8" ht="13.5" thickBot="1">
      <c r="A389" s="455" t="s">
        <v>105</v>
      </c>
      <c r="B389" s="463">
        <v>635.0375939849764</v>
      </c>
      <c r="C389" s="456">
        <v>265</v>
      </c>
      <c r="D389" s="456"/>
      <c r="E389" s="456"/>
      <c r="F389" s="456"/>
      <c r="G389" s="456"/>
      <c r="H389" s="464"/>
    </row>
    <row r="393" spans="1:5" ht="12.75">
      <c r="A393" s="200" t="s">
        <v>161</v>
      </c>
      <c r="E393" s="18"/>
    </row>
    <row r="394" spans="1:8" ht="12.75">
      <c r="A394" s="602" t="s">
        <v>144</v>
      </c>
      <c r="B394" s="503"/>
      <c r="C394" s="503"/>
      <c r="D394" s="503"/>
      <c r="E394" s="503"/>
      <c r="F394" s="503"/>
      <c r="G394" s="503"/>
      <c r="H394" s="503"/>
    </row>
    <row r="395" spans="1:8" ht="12.75">
      <c r="A395" s="602"/>
      <c r="B395" s="503"/>
      <c r="C395" s="503"/>
      <c r="D395" s="503"/>
      <c r="E395" s="503"/>
      <c r="F395" s="503"/>
      <c r="G395" s="503"/>
      <c r="H395" s="503"/>
    </row>
    <row r="396" spans="1:8" ht="13.5" thickBot="1">
      <c r="A396" s="602" t="s">
        <v>145</v>
      </c>
      <c r="B396" s="503"/>
      <c r="C396" s="503"/>
      <c r="D396" s="503"/>
      <c r="E396" s="503"/>
      <c r="F396" s="503"/>
      <c r="G396" s="503"/>
      <c r="H396" s="503"/>
    </row>
    <row r="397" spans="1:8" ht="12.75">
      <c r="A397" s="517" t="s">
        <v>146</v>
      </c>
      <c r="B397" s="603" t="s">
        <v>33</v>
      </c>
      <c r="C397" s="603" t="s">
        <v>32</v>
      </c>
      <c r="D397" s="603" t="s">
        <v>56</v>
      </c>
      <c r="E397" s="603" t="s">
        <v>147</v>
      </c>
      <c r="F397" s="503"/>
      <c r="G397" s="503"/>
      <c r="H397" s="503"/>
    </row>
    <row r="398" spans="1:8" ht="12.75">
      <c r="A398" s="506" t="s">
        <v>138</v>
      </c>
      <c r="B398" s="513">
        <v>50</v>
      </c>
      <c r="C398" s="507">
        <v>134.75199999999998</v>
      </c>
      <c r="D398" s="507">
        <v>2.6950399999999997</v>
      </c>
      <c r="E398" s="507">
        <v>0.10358505959183907</v>
      </c>
      <c r="F398" s="503"/>
      <c r="G398" s="503"/>
      <c r="H398" s="503"/>
    </row>
    <row r="399" spans="1:8" ht="12.75">
      <c r="A399" s="506" t="s">
        <v>139</v>
      </c>
      <c r="B399" s="513">
        <v>81</v>
      </c>
      <c r="C399" s="507">
        <v>264.644</v>
      </c>
      <c r="D399" s="507">
        <v>3.26720987654321</v>
      </c>
      <c r="E399" s="507">
        <v>0.0349322929012331</v>
      </c>
      <c r="F399" s="503"/>
      <c r="G399" s="503"/>
      <c r="H399" s="503"/>
    </row>
    <row r="400" spans="1:8" ht="12.75">
      <c r="A400" s="506" t="s">
        <v>140</v>
      </c>
      <c r="B400" s="513">
        <v>83</v>
      </c>
      <c r="C400" s="507">
        <v>300.6</v>
      </c>
      <c r="D400" s="507">
        <v>3.621686746987952</v>
      </c>
      <c r="E400" s="507">
        <v>0.03840438848075193</v>
      </c>
      <c r="F400" s="503"/>
      <c r="G400" s="503"/>
      <c r="H400" s="503"/>
    </row>
    <row r="401" spans="1:8" ht="13.5" thickBot="1">
      <c r="A401" s="508" t="s">
        <v>141</v>
      </c>
      <c r="B401" s="509">
        <v>52</v>
      </c>
      <c r="C401" s="515">
        <v>217.21</v>
      </c>
      <c r="D401" s="515">
        <v>4.1771153846153855</v>
      </c>
      <c r="E401" s="515">
        <v>0.0946120256410134</v>
      </c>
      <c r="F401" s="503"/>
      <c r="G401" s="503"/>
      <c r="H401" s="503"/>
    </row>
    <row r="402" spans="1:8" ht="12.75">
      <c r="A402" s="602"/>
      <c r="B402" s="503"/>
      <c r="C402" s="503"/>
      <c r="D402" s="503"/>
      <c r="E402" s="503"/>
      <c r="F402" s="503"/>
      <c r="G402" s="503"/>
      <c r="H402" s="503"/>
    </row>
    <row r="403" spans="1:8" ht="12.75">
      <c r="A403" s="602"/>
      <c r="B403" s="503"/>
      <c r="C403" s="503"/>
      <c r="D403" s="503"/>
      <c r="E403" s="503"/>
      <c r="F403" s="503"/>
      <c r="G403" s="503"/>
      <c r="H403" s="503"/>
    </row>
    <row r="404" spans="1:8" ht="12.75">
      <c r="A404" s="602" t="s">
        <v>176</v>
      </c>
      <c r="B404" s="503"/>
      <c r="C404" s="503"/>
      <c r="D404" s="503"/>
      <c r="E404" s="503"/>
      <c r="F404" s="503"/>
      <c r="G404" s="503"/>
      <c r="H404" s="503"/>
    </row>
    <row r="405" spans="1:8" ht="12.75">
      <c r="A405" s="604" t="s">
        <v>159</v>
      </c>
      <c r="B405" s="604" t="s">
        <v>152</v>
      </c>
      <c r="C405" s="604" t="s">
        <v>154</v>
      </c>
      <c r="D405" s="604" t="s">
        <v>156</v>
      </c>
      <c r="E405" s="604" t="s">
        <v>36</v>
      </c>
      <c r="F405" s="604" t="s">
        <v>136</v>
      </c>
      <c r="G405" s="664" t="s">
        <v>158</v>
      </c>
      <c r="H405" s="664"/>
    </row>
    <row r="406" spans="1:8" ht="13.5" thickBot="1">
      <c r="A406" s="605" t="s">
        <v>151</v>
      </c>
      <c r="B406" s="605" t="s">
        <v>153</v>
      </c>
      <c r="C406" s="605" t="s">
        <v>155</v>
      </c>
      <c r="D406" s="605" t="s">
        <v>157</v>
      </c>
      <c r="E406" s="605" t="s">
        <v>148</v>
      </c>
      <c r="F406" s="605" t="s">
        <v>148</v>
      </c>
      <c r="G406" s="605">
        <v>0.05</v>
      </c>
      <c r="H406" s="606">
        <v>0.01</v>
      </c>
    </row>
    <row r="407" spans="1:8" ht="13.5" thickTop="1">
      <c r="A407" s="607" t="s">
        <v>149</v>
      </c>
      <c r="B407" s="507">
        <v>61.142472056215865</v>
      </c>
      <c r="C407" s="513">
        <v>3</v>
      </c>
      <c r="D407" s="507">
        <v>20.380824018738622</v>
      </c>
      <c r="E407" s="507">
        <v>337.00867368506397</v>
      </c>
      <c r="F407" s="608">
        <v>1.338148586383449E-89</v>
      </c>
      <c r="G407" s="507">
        <v>2.6390551965960185</v>
      </c>
      <c r="H407" s="514">
        <f>FINV(H406,C407,C408)</f>
        <v>3.857208361899467</v>
      </c>
    </row>
    <row r="408" spans="1:8" ht="12.75">
      <c r="A408" s="607" t="s">
        <v>150</v>
      </c>
      <c r="B408" s="507">
        <v>15.844624515212217</v>
      </c>
      <c r="C408" s="513">
        <v>262</v>
      </c>
      <c r="D408" s="507">
        <v>0.06047566608859625</v>
      </c>
      <c r="E408" s="507"/>
      <c r="F408" s="507"/>
      <c r="G408" s="507"/>
      <c r="H408" s="503"/>
    </row>
    <row r="409" spans="1:8" ht="12.75">
      <c r="A409" s="607"/>
      <c r="B409" s="507"/>
      <c r="C409" s="513"/>
      <c r="D409" s="513"/>
      <c r="E409" s="513"/>
      <c r="F409" s="513"/>
      <c r="G409" s="513"/>
      <c r="H409" s="503"/>
    </row>
    <row r="410" spans="1:8" ht="13.5" thickBot="1">
      <c r="A410" s="609" t="s">
        <v>105</v>
      </c>
      <c r="B410" s="515">
        <v>76.98709657142808</v>
      </c>
      <c r="C410" s="509">
        <v>265</v>
      </c>
      <c r="D410" s="509"/>
      <c r="E410" s="509"/>
      <c r="F410" s="509"/>
      <c r="G410" s="509"/>
      <c r="H410" s="516"/>
    </row>
    <row r="411" spans="1:5" ht="12.75">
      <c r="A411" s="95"/>
      <c r="E411" s="18"/>
    </row>
    <row r="412" spans="1:5" ht="12.75">
      <c r="A412" s="95"/>
      <c r="E412" s="18"/>
    </row>
    <row r="413" spans="1:11" ht="12.75">
      <c r="A413" s="346"/>
      <c r="B413" s="657" t="s">
        <v>127</v>
      </c>
      <c r="C413" s="656"/>
      <c r="D413" s="360"/>
      <c r="E413" s="655" t="s">
        <v>173</v>
      </c>
      <c r="F413" s="656"/>
      <c r="G413" s="346" t="s">
        <v>36</v>
      </c>
      <c r="H413" s="360" t="s">
        <v>136</v>
      </c>
      <c r="I413" s="655" t="s">
        <v>175</v>
      </c>
      <c r="J413" s="656"/>
      <c r="K413" s="346" t="s">
        <v>174</v>
      </c>
    </row>
    <row r="414" spans="1:11" ht="13.5" thickBot="1">
      <c r="A414" s="351" t="s">
        <v>172</v>
      </c>
      <c r="B414" s="350">
        <v>1</v>
      </c>
      <c r="C414" s="349">
        <v>2</v>
      </c>
      <c r="D414" s="350" t="s">
        <v>163</v>
      </c>
      <c r="E414" s="349" t="s">
        <v>164</v>
      </c>
      <c r="F414" s="350" t="s">
        <v>165</v>
      </c>
      <c r="G414" s="351" t="s">
        <v>166</v>
      </c>
      <c r="H414" s="350" t="s">
        <v>166</v>
      </c>
      <c r="I414" s="349">
        <v>0.05</v>
      </c>
      <c r="J414" s="350">
        <v>0.01</v>
      </c>
      <c r="K414" s="351"/>
    </row>
    <row r="415" spans="1:11" ht="13.5" thickTop="1">
      <c r="A415" s="436" t="s">
        <v>162</v>
      </c>
      <c r="B415" s="132">
        <f>'C. Resultados'!D398</f>
        <v>2.6950399999999997</v>
      </c>
      <c r="C415" s="133">
        <f>'C. Resultados'!D399</f>
        <v>3.26720987654321</v>
      </c>
      <c r="D415" s="132">
        <f aca="true" t="shared" si="15" ref="D415:D420">B415-C415</f>
        <v>-0.5721698765432102</v>
      </c>
      <c r="E415" s="130">
        <f>'C. Resultados'!B398</f>
        <v>50</v>
      </c>
      <c r="F415" s="134">
        <f>'C. Resultados'!B399</f>
        <v>81</v>
      </c>
      <c r="G415" s="54">
        <f>ABS(D415)/(SQRT('C. Resultados'!$D$408*(1/E415+1/F415)))</f>
        <v>12.936789839063227</v>
      </c>
      <c r="H415" s="132">
        <f>TDIST(G415,'C. Resultados'!$C$408,2)</f>
        <v>6.197157195000734E-30</v>
      </c>
      <c r="I415" s="54">
        <f>TINV(I$414,'C. Resultados'!$C$408)</f>
        <v>1.9690596570676933</v>
      </c>
      <c r="J415" s="135">
        <f>TINV(J$414,'C. Resultados'!$C$408)</f>
        <v>2.5947241133658068</v>
      </c>
      <c r="K415" s="136" t="str">
        <f aca="true" t="shared" si="16" ref="K415:K420">IF(H415&lt;=$J$414,"**",IF(H415&lt;=$I$414,"**","NS"))</f>
        <v>**</v>
      </c>
    </row>
    <row r="416" spans="1:11" ht="12.75">
      <c r="A416" s="436" t="s">
        <v>168</v>
      </c>
      <c r="B416" s="132">
        <f>B415</f>
        <v>2.6950399999999997</v>
      </c>
      <c r="C416" s="133">
        <f>'C. Resultados'!D400</f>
        <v>3.621686746987952</v>
      </c>
      <c r="D416" s="132">
        <f t="shared" si="15"/>
        <v>-0.9266467469879522</v>
      </c>
      <c r="E416" s="130">
        <f>'C. Resultados'!B398</f>
        <v>50</v>
      </c>
      <c r="F416" s="134">
        <f>'C. Resultados'!B400</f>
        <v>83</v>
      </c>
      <c r="G416" s="54">
        <f>ABS(D416)/(SQRT('C. Resultados'!$D$408*(1/E416+1/F416)))</f>
        <v>21.048546110998878</v>
      </c>
      <c r="H416" s="132">
        <f>TDIST(G416,'C. Resultados'!$C$408,2)</f>
        <v>2.9761533815995807E-58</v>
      </c>
      <c r="I416" s="54">
        <f>TINV(I$414,'C. Resultados'!$C$408)</f>
        <v>1.9690596570676933</v>
      </c>
      <c r="J416" s="135">
        <f>TINV(J$414,'C. Resultados'!$C$408)</f>
        <v>2.5947241133658068</v>
      </c>
      <c r="K416" s="136" t="str">
        <f t="shared" si="16"/>
        <v>**</v>
      </c>
    </row>
    <row r="417" spans="1:11" ht="12.75">
      <c r="A417" s="436" t="s">
        <v>167</v>
      </c>
      <c r="B417" s="132">
        <f>B416</f>
        <v>2.6950399999999997</v>
      </c>
      <c r="C417" s="133">
        <f>'C. Resultados'!D401</f>
        <v>4.1771153846153855</v>
      </c>
      <c r="D417" s="132">
        <f t="shared" si="15"/>
        <v>-1.4820753846153858</v>
      </c>
      <c r="E417" s="130">
        <f>E416</f>
        <v>50</v>
      </c>
      <c r="F417" s="134">
        <f>'C. Resultados'!B401</f>
        <v>52</v>
      </c>
      <c r="G417" s="54">
        <f>ABS(D417)/(SQRT('C. Resultados'!$D$408*(1/E417+1/F417)))</f>
        <v>30.42751969029709</v>
      </c>
      <c r="H417" s="132">
        <f>TDIST(G417,'C. Resultados'!$C$408,2)</f>
        <v>5.629759434109178E-88</v>
      </c>
      <c r="I417" s="54">
        <f>TINV(I$414,'C. Resultados'!$C$408)</f>
        <v>1.9690596570676933</v>
      </c>
      <c r="J417" s="135">
        <f>TINV(J$414,'C. Resultados'!$C$408)</f>
        <v>2.5947241133658068</v>
      </c>
      <c r="K417" s="136" t="str">
        <f t="shared" si="16"/>
        <v>**</v>
      </c>
    </row>
    <row r="418" spans="1:11" ht="12.75">
      <c r="A418" s="436" t="s">
        <v>169</v>
      </c>
      <c r="B418" s="132">
        <f>C415</f>
        <v>3.26720987654321</v>
      </c>
      <c r="C418" s="133">
        <f>C416</f>
        <v>3.621686746987952</v>
      </c>
      <c r="D418" s="132">
        <f t="shared" si="15"/>
        <v>-0.3544768704447421</v>
      </c>
      <c r="E418" s="130">
        <f>F415</f>
        <v>81</v>
      </c>
      <c r="F418" s="134">
        <f>F416</f>
        <v>83</v>
      </c>
      <c r="G418" s="54">
        <f>ABS(D418)/(SQRT('C. Resultados'!$D$408*(1/E418+1/F418)))</f>
        <v>9.22905436323139</v>
      </c>
      <c r="H418" s="132">
        <f>TDIST(G418,'C. Resultados'!$C$408,2)</f>
        <v>9.508689772218843E-18</v>
      </c>
      <c r="I418" s="54">
        <f>TINV(I$414,'C. Resultados'!$C$408)</f>
        <v>1.9690596570676933</v>
      </c>
      <c r="J418" s="135">
        <f>TINV(J$414,'C. Resultados'!$C$408)</f>
        <v>2.5947241133658068</v>
      </c>
      <c r="K418" s="136" t="str">
        <f t="shared" si="16"/>
        <v>**</v>
      </c>
    </row>
    <row r="419" spans="1:11" ht="12.75">
      <c r="A419" s="436" t="s">
        <v>170</v>
      </c>
      <c r="B419" s="132">
        <f>B418</f>
        <v>3.26720987654321</v>
      </c>
      <c r="C419" s="133">
        <f>C417</f>
        <v>4.1771153846153855</v>
      </c>
      <c r="D419" s="132">
        <f t="shared" si="15"/>
        <v>-0.9099055080721756</v>
      </c>
      <c r="E419" s="130">
        <f>F416</f>
        <v>83</v>
      </c>
      <c r="F419" s="134">
        <f>F417</f>
        <v>52</v>
      </c>
      <c r="G419" s="54">
        <f>ABS(D419)/(SQRT('C. Resultados'!$D$408*(1/E419+1/F419)))</f>
        <v>20.92087273282891</v>
      </c>
      <c r="H419" s="132">
        <f>TDIST(G419,'C. Resultados'!$C$408,2)</f>
        <v>8.103439355922975E-58</v>
      </c>
      <c r="I419" s="54">
        <f>TINV(I$414,'C. Resultados'!$C$408)</f>
        <v>1.9690596570676933</v>
      </c>
      <c r="J419" s="135">
        <f>TINV(J$414,'C. Resultados'!$C$408)</f>
        <v>2.5947241133658068</v>
      </c>
      <c r="K419" s="136" t="str">
        <f t="shared" si="16"/>
        <v>**</v>
      </c>
    </row>
    <row r="420" spans="1:11" ht="12.75">
      <c r="A420" s="465" t="s">
        <v>171</v>
      </c>
      <c r="B420" s="138">
        <f>C418</f>
        <v>3.621686746987952</v>
      </c>
      <c r="C420" s="139">
        <f>C419</f>
        <v>4.1771153846153855</v>
      </c>
      <c r="D420" s="138">
        <f t="shared" si="15"/>
        <v>-0.5554286376274336</v>
      </c>
      <c r="E420" s="137">
        <f>F418</f>
        <v>83</v>
      </c>
      <c r="F420" s="140">
        <f>F419</f>
        <v>52</v>
      </c>
      <c r="G420" s="141">
        <f>ABS(D420)/(SQRT('C. Resultados'!$D$408*(1/E420+1/F420)))</f>
        <v>12.77061380207664</v>
      </c>
      <c r="H420" s="138">
        <f>TDIST(G420,'C. Resultados'!$C$408,2)</f>
        <v>2.3145263903936133E-29</v>
      </c>
      <c r="I420" s="141">
        <f>TINV(I$414,'C. Resultados'!$C$408)</f>
        <v>1.9690596570676933</v>
      </c>
      <c r="J420" s="142">
        <f>TINV(J$414,'C. Resultados'!$C$408)</f>
        <v>2.5947241133658068</v>
      </c>
      <c r="K420" s="143" t="str">
        <f t="shared" si="16"/>
        <v>**</v>
      </c>
    </row>
    <row r="424" spans="1:5" ht="12.75">
      <c r="A424" s="200" t="s">
        <v>256</v>
      </c>
      <c r="E424" s="18"/>
    </row>
    <row r="425" spans="1:6" ht="12.75">
      <c r="A425" s="466" t="s">
        <v>128</v>
      </c>
      <c r="B425" s="467" t="s">
        <v>179</v>
      </c>
      <c r="C425" s="665" t="s">
        <v>8</v>
      </c>
      <c r="D425" s="666"/>
      <c r="E425" s="666"/>
      <c r="F425" s="468" t="s">
        <v>32</v>
      </c>
    </row>
    <row r="426" spans="1:6" ht="13.5" thickBot="1">
      <c r="A426" s="469" t="s">
        <v>129</v>
      </c>
      <c r="B426" s="470" t="s">
        <v>180</v>
      </c>
      <c r="C426" s="471" t="s">
        <v>181</v>
      </c>
      <c r="D426" s="471" t="s">
        <v>182</v>
      </c>
      <c r="E426" s="472" t="s">
        <v>184</v>
      </c>
      <c r="F426" s="473" t="s">
        <v>193</v>
      </c>
    </row>
    <row r="427" spans="1:6" ht="13.5" thickTop="1">
      <c r="A427" s="474" t="s">
        <v>183</v>
      </c>
      <c r="B427" s="442" t="s">
        <v>181</v>
      </c>
      <c r="C427" s="475">
        <f>SUM(Muestra!M905:M907)</f>
        <v>3</v>
      </c>
      <c r="D427" s="475">
        <f>SUM(Muestra!N905:N907)</f>
        <v>0</v>
      </c>
      <c r="E427" s="476">
        <f>SUM(Muestra!O905:O907)</f>
        <v>0</v>
      </c>
      <c r="F427" s="477">
        <f>SUM(C427:E427)</f>
        <v>3</v>
      </c>
    </row>
    <row r="428" spans="1:6" ht="12.75">
      <c r="A428" s="474"/>
      <c r="B428" s="442" t="s">
        <v>182</v>
      </c>
      <c r="C428" s="475">
        <f>SUM(Muestra!M909:M948)</f>
        <v>12</v>
      </c>
      <c r="D428" s="475">
        <f>SUM(Muestra!N909:N948)</f>
        <v>17</v>
      </c>
      <c r="E428" s="476">
        <f>SUM(Muestra!O909:O948)</f>
        <v>11</v>
      </c>
      <c r="F428" s="477">
        <f>SUM(C428:E428)</f>
        <v>40</v>
      </c>
    </row>
    <row r="429" spans="1:6" ht="12.75">
      <c r="A429" s="478"/>
      <c r="B429" s="434" t="s">
        <v>184</v>
      </c>
      <c r="C429" s="479">
        <f>SUM(Muestra!M950:M956)</f>
        <v>0</v>
      </c>
      <c r="D429" s="479">
        <f>SUM(Muestra!N950:N956)</f>
        <v>6</v>
      </c>
      <c r="E429" s="480">
        <f>SUM(Muestra!O950:O956)</f>
        <v>1</v>
      </c>
      <c r="F429" s="481">
        <f>SUM(C429:E429)</f>
        <v>7</v>
      </c>
    </row>
    <row r="430" spans="1:6" ht="12.75">
      <c r="A430" s="482" t="s">
        <v>188</v>
      </c>
      <c r="B430" s="483"/>
      <c r="C430" s="484">
        <f>SUM(C427:C429)</f>
        <v>15</v>
      </c>
      <c r="D430" s="484">
        <f>SUM(D427:D429)</f>
        <v>23</v>
      </c>
      <c r="E430" s="485">
        <f>SUM(E427:E429)</f>
        <v>12</v>
      </c>
      <c r="F430" s="484">
        <f>SUM(F427:F429)</f>
        <v>50</v>
      </c>
    </row>
    <row r="431" spans="1:6" ht="12.75">
      <c r="A431" s="474" t="s">
        <v>185</v>
      </c>
      <c r="B431" s="442" t="s">
        <v>181</v>
      </c>
      <c r="C431" s="475">
        <f>SUM(Muestra!M959:M966)</f>
        <v>8</v>
      </c>
      <c r="D431" s="475">
        <f>SUM(Muestra!N959:N966)</f>
        <v>0</v>
      </c>
      <c r="E431" s="476">
        <f>SUM(Muestra!O959:O966)</f>
        <v>0</v>
      </c>
      <c r="F431" s="477">
        <f>SUM(C431:E431)</f>
        <v>8</v>
      </c>
    </row>
    <row r="432" spans="1:6" ht="12.75">
      <c r="A432" s="474"/>
      <c r="B432" s="442" t="s">
        <v>182</v>
      </c>
      <c r="C432" s="475">
        <f>SUM(Muestra!M968:M1027)</f>
        <v>22</v>
      </c>
      <c r="D432" s="475">
        <f>SUM(Muestra!N968:N1027)</f>
        <v>25</v>
      </c>
      <c r="E432" s="476">
        <f>SUM(Muestra!O968:O1027)</f>
        <v>13</v>
      </c>
      <c r="F432" s="477">
        <f>SUM(C432:E432)</f>
        <v>60</v>
      </c>
    </row>
    <row r="433" spans="1:6" ht="12.75">
      <c r="A433" s="382"/>
      <c r="B433" s="442" t="s">
        <v>184</v>
      </c>
      <c r="C433" s="475">
        <f>SUM(Muestra!M1029:M1041)</f>
        <v>0</v>
      </c>
      <c r="D433" s="475">
        <f>SUM(Muestra!N1029:N1041)</f>
        <v>9</v>
      </c>
      <c r="E433" s="476">
        <f>SUM(Muestra!O1029:O1041)</f>
        <v>4</v>
      </c>
      <c r="F433" s="477">
        <f>SUM(C433:E433)</f>
        <v>13</v>
      </c>
    </row>
    <row r="434" spans="1:6" ht="12.75">
      <c r="A434" s="482" t="s">
        <v>189</v>
      </c>
      <c r="B434" s="483"/>
      <c r="C434" s="484">
        <f>SUM(C431:C433)</f>
        <v>30</v>
      </c>
      <c r="D434" s="484">
        <f>SUM(D431:D433)</f>
        <v>34</v>
      </c>
      <c r="E434" s="485">
        <f>SUM(E431:E433)</f>
        <v>17</v>
      </c>
      <c r="F434" s="484">
        <f>SUM(F431:F433)</f>
        <v>81</v>
      </c>
    </row>
    <row r="435" spans="1:6" ht="12.75">
      <c r="A435" s="474" t="s">
        <v>186</v>
      </c>
      <c r="B435" s="442" t="s">
        <v>181</v>
      </c>
      <c r="C435" s="475">
        <f>SUM(Muestra!K1044:K1054)</f>
        <v>0</v>
      </c>
      <c r="D435" s="475">
        <f>SUM(Muestra!L1044:L1054)</f>
        <v>0</v>
      </c>
      <c r="E435" s="476">
        <f>SUM(Muestra!M1044:M1054)</f>
        <v>11</v>
      </c>
      <c r="F435" s="477">
        <f>SUM(C435:E435)</f>
        <v>11</v>
      </c>
    </row>
    <row r="436" spans="1:6" ht="12.75">
      <c r="A436" s="474"/>
      <c r="B436" s="442" t="s">
        <v>182</v>
      </c>
      <c r="C436" s="475">
        <f>SUM(Muestra!M1056:M1114)</f>
        <v>16</v>
      </c>
      <c r="D436" s="475">
        <f>SUM(Muestra!N1056:N1114)</f>
        <v>34</v>
      </c>
      <c r="E436" s="476">
        <f>SUM(Muestra!O1056:O1114)</f>
        <v>9</v>
      </c>
      <c r="F436" s="477">
        <f>SUM(C436:E436)</f>
        <v>59</v>
      </c>
    </row>
    <row r="437" spans="1:6" ht="12.75">
      <c r="A437" s="474"/>
      <c r="B437" s="442" t="s">
        <v>184</v>
      </c>
      <c r="C437" s="475">
        <f>SUM(Muestra!M1116:M1128)</f>
        <v>0</v>
      </c>
      <c r="D437" s="475">
        <f>SUM(Muestra!N1116:N1128)</f>
        <v>9</v>
      </c>
      <c r="E437" s="476">
        <f>SUM(Muestra!O1116:O1128)</f>
        <v>4</v>
      </c>
      <c r="F437" s="477">
        <f>SUM(C437:E437)</f>
        <v>13</v>
      </c>
    </row>
    <row r="438" spans="1:6" ht="12.75">
      <c r="A438" s="482" t="s">
        <v>190</v>
      </c>
      <c r="B438" s="483"/>
      <c r="C438" s="484">
        <f>SUM(C435:C437)</f>
        <v>16</v>
      </c>
      <c r="D438" s="484">
        <f>SUM(D435:D437)</f>
        <v>43</v>
      </c>
      <c r="E438" s="485">
        <f>SUM(E435:E437)</f>
        <v>24</v>
      </c>
      <c r="F438" s="484">
        <f>SUM(F435:F437)</f>
        <v>83</v>
      </c>
    </row>
    <row r="439" spans="1:6" ht="12.75">
      <c r="A439" s="474" t="s">
        <v>187</v>
      </c>
      <c r="B439" s="442" t="s">
        <v>181</v>
      </c>
      <c r="C439" s="475">
        <f>SUM(Muestra!M1131:M1138)</f>
        <v>8</v>
      </c>
      <c r="D439" s="475">
        <f>SUM(Muestra!N1131:N1138)</f>
        <v>0</v>
      </c>
      <c r="E439" s="476">
        <f>SUM(Muestra!O1131:O1138)</f>
        <v>0</v>
      </c>
      <c r="F439" s="477">
        <f>SUM(C439:E439)</f>
        <v>8</v>
      </c>
    </row>
    <row r="440" spans="1:6" ht="12.75">
      <c r="A440" s="382"/>
      <c r="B440" s="442" t="s">
        <v>182</v>
      </c>
      <c r="C440" s="486">
        <f>SUM(Muestra!M1140:M1171)</f>
        <v>8</v>
      </c>
      <c r="D440" s="486">
        <f>SUM(Muestra!N1140:N1171)</f>
        <v>17</v>
      </c>
      <c r="E440" s="487">
        <f>SUM(Muestra!O1140:O1171)</f>
        <v>7</v>
      </c>
      <c r="F440" s="477">
        <f>SUM(C440:E440)</f>
        <v>32</v>
      </c>
    </row>
    <row r="441" spans="1:6" ht="12.75">
      <c r="A441" s="382"/>
      <c r="B441" s="442" t="s">
        <v>184</v>
      </c>
      <c r="C441" s="425">
        <f>SUM(Muestra!M1173:M1184)</f>
        <v>0</v>
      </c>
      <c r="D441" s="425">
        <f>SUM(Muestra!N1173:N1184)</f>
        <v>8</v>
      </c>
      <c r="E441" s="440">
        <f>SUM(Muestra!O1173:O1184)</f>
        <v>4</v>
      </c>
      <c r="F441" s="477">
        <f>SUM(C441:E441)</f>
        <v>12</v>
      </c>
    </row>
    <row r="442" spans="1:6" ht="13.5" thickBot="1">
      <c r="A442" s="488" t="s">
        <v>191</v>
      </c>
      <c r="B442" s="489"/>
      <c r="C442" s="490">
        <f>SUM(C439:C441)</f>
        <v>16</v>
      </c>
      <c r="D442" s="490">
        <f>SUM(D439:D441)</f>
        <v>25</v>
      </c>
      <c r="E442" s="491">
        <f>SUM(E439:E441)</f>
        <v>11</v>
      </c>
      <c r="F442" s="490">
        <f>SUM(F439:F441)</f>
        <v>52</v>
      </c>
    </row>
    <row r="443" spans="1:6" ht="12.75">
      <c r="A443" s="478" t="s">
        <v>192</v>
      </c>
      <c r="B443" s="434"/>
      <c r="C443" s="492">
        <f>SUM(C427:C429,C431:C433,C435:C437,C439:C441)</f>
        <v>77</v>
      </c>
      <c r="D443" s="492">
        <f>SUM(D427:D429,D431:D433,D435:D437,D439:D441)</f>
        <v>125</v>
      </c>
      <c r="E443" s="493">
        <f>SUM(E427:E429,E431:E433,E435:E437,E439:E441)</f>
        <v>64</v>
      </c>
      <c r="F443" s="494">
        <f>SUM(C443:E443)</f>
        <v>266</v>
      </c>
    </row>
    <row r="444" spans="1:6" ht="12.75">
      <c r="A444" s="495" t="s">
        <v>194</v>
      </c>
      <c r="B444" s="496"/>
      <c r="C444" s="497">
        <f>F427+F431+F435+F439</f>
        <v>30</v>
      </c>
      <c r="D444" s="497">
        <f>F428+F432+F436+F440</f>
        <v>191</v>
      </c>
      <c r="E444" s="497">
        <f>F429+F433+F437+F441</f>
        <v>45</v>
      </c>
      <c r="F444" s="403"/>
    </row>
    <row r="447" spans="1:5" ht="12.75">
      <c r="A447" s="200" t="s">
        <v>195</v>
      </c>
      <c r="E447" s="18"/>
    </row>
    <row r="448" spans="1:6" ht="12.75">
      <c r="A448" s="148" t="s">
        <v>128</v>
      </c>
      <c r="B448" s="149" t="s">
        <v>179</v>
      </c>
      <c r="C448" s="667" t="s">
        <v>8</v>
      </c>
      <c r="D448" s="668"/>
      <c r="E448" s="668"/>
      <c r="F448" s="158" t="s">
        <v>32</v>
      </c>
    </row>
    <row r="449" spans="1:6" ht="13.5" thickBot="1">
      <c r="A449" s="154" t="s">
        <v>129</v>
      </c>
      <c r="B449" s="155" t="s">
        <v>180</v>
      </c>
      <c r="C449" s="160" t="s">
        <v>181</v>
      </c>
      <c r="D449" s="185" t="s">
        <v>182</v>
      </c>
      <c r="E449" s="160" t="s">
        <v>184</v>
      </c>
      <c r="F449" s="157" t="s">
        <v>193</v>
      </c>
    </row>
    <row r="450" spans="1:6" ht="13.5" thickTop="1">
      <c r="A450" s="150" t="s">
        <v>183</v>
      </c>
      <c r="B450" s="71" t="s">
        <v>181</v>
      </c>
      <c r="C450" s="182">
        <f>'C. Resultados'!C427*100/'C. Resultados'!$F$443</f>
        <v>1.1278195488721805</v>
      </c>
      <c r="D450" s="170"/>
      <c r="E450" s="182"/>
      <c r="F450" s="171">
        <f>SUM(C450:E450)</f>
        <v>1.1278195488721805</v>
      </c>
    </row>
    <row r="451" spans="1:6" ht="12.75">
      <c r="A451" s="150"/>
      <c r="B451" s="71" t="s">
        <v>182</v>
      </c>
      <c r="C451" s="182">
        <f>'C. Resultados'!C428*100/'C. Resultados'!$F$443</f>
        <v>4.511278195488722</v>
      </c>
      <c r="D451" s="170">
        <f>'C. Resultados'!D428*100/'C. Resultados'!$F$443</f>
        <v>6.390977443609023</v>
      </c>
      <c r="E451" s="182">
        <f>'C. Resultados'!E428*100/'C. Resultados'!$F$443</f>
        <v>4.135338345864661</v>
      </c>
      <c r="F451" s="171">
        <f>SUM(C451:E451)</f>
        <v>15.037593984962406</v>
      </c>
    </row>
    <row r="452" spans="1:6" ht="12.75">
      <c r="A452" s="150"/>
      <c r="B452" s="71" t="s">
        <v>184</v>
      </c>
      <c r="C452" s="182"/>
      <c r="D452" s="170">
        <f>'C. Resultados'!D429*100/'C. Resultados'!$F$443</f>
        <v>2.255639097744361</v>
      </c>
      <c r="E452" s="182">
        <f>'C. Resultados'!E429*100/'C. Resultados'!$F$443</f>
        <v>0.37593984962406013</v>
      </c>
      <c r="F452" s="171">
        <f>SUM(C452:E452)</f>
        <v>2.6315789473684212</v>
      </c>
    </row>
    <row r="453" spans="1:6" ht="12.75">
      <c r="A453" s="163" t="s">
        <v>188</v>
      </c>
      <c r="B453" s="164"/>
      <c r="C453" s="172">
        <f>SUM(C450:C452)</f>
        <v>5.639097744360902</v>
      </c>
      <c r="D453" s="173">
        <f>SUM(D450:D452)</f>
        <v>8.646616541353383</v>
      </c>
      <c r="E453" s="172">
        <f>SUM(E450:E452)</f>
        <v>4.511278195488721</v>
      </c>
      <c r="F453" s="180">
        <f>SUM(F450:F452)</f>
        <v>18.79699248120301</v>
      </c>
    </row>
    <row r="454" spans="1:6" ht="12.75">
      <c r="A454" s="150" t="s">
        <v>185</v>
      </c>
      <c r="B454" s="71" t="s">
        <v>181</v>
      </c>
      <c r="C454" s="182">
        <f>'C. Resultados'!C431*100/'C. Resultados'!$F$443</f>
        <v>3.007518796992481</v>
      </c>
      <c r="D454" s="170">
        <f>'C. Resultados'!D431*100/'C. Resultados'!$F$443</f>
        <v>0</v>
      </c>
      <c r="E454" s="182">
        <f>'C. Resultados'!E431*100/'C. Resultados'!$F$443</f>
        <v>0</v>
      </c>
      <c r="F454" s="171">
        <f>SUM(C454:E454)</f>
        <v>3.007518796992481</v>
      </c>
    </row>
    <row r="455" spans="1:6" ht="12.75">
      <c r="A455" s="150"/>
      <c r="B455" s="71" t="s">
        <v>182</v>
      </c>
      <c r="C455" s="182">
        <f>'C. Resultados'!C432*100/'C. Resultados'!$F$443</f>
        <v>8.270676691729323</v>
      </c>
      <c r="D455" s="170">
        <f>'C. Resultados'!D432*100/'C. Resultados'!$F$443</f>
        <v>9.398496240601503</v>
      </c>
      <c r="E455" s="182">
        <f>'C. Resultados'!E432*100/'C. Resultados'!$F$443</f>
        <v>4.887218045112782</v>
      </c>
      <c r="F455" s="171">
        <f>SUM(C455:E455)</f>
        <v>22.556390977443606</v>
      </c>
    </row>
    <row r="456" spans="1:6" ht="12.75">
      <c r="A456" s="93"/>
      <c r="B456" s="71" t="s">
        <v>184</v>
      </c>
      <c r="C456" s="182"/>
      <c r="D456" s="170">
        <f>'C. Resultados'!D433*100/'C. Resultados'!$F$443</f>
        <v>3.3834586466165413</v>
      </c>
      <c r="E456" s="182">
        <f>'C. Resultados'!E433*100/'C. Resultados'!$F$443</f>
        <v>1.5037593984962405</v>
      </c>
      <c r="F456" s="171">
        <f>SUM(C456:E456)</f>
        <v>4.887218045112782</v>
      </c>
    </row>
    <row r="457" spans="1:6" ht="12.75">
      <c r="A457" s="163" t="s">
        <v>189</v>
      </c>
      <c r="B457" s="164"/>
      <c r="C457" s="172">
        <f>SUM(C454:C456)</f>
        <v>11.278195488721803</v>
      </c>
      <c r="D457" s="173">
        <f>SUM(D454:D456)</f>
        <v>12.781954887218044</v>
      </c>
      <c r="E457" s="172">
        <f>SUM(E454:E456)</f>
        <v>6.390977443609023</v>
      </c>
      <c r="F457" s="180">
        <f>SUM(F454:F456)</f>
        <v>30.45112781954887</v>
      </c>
    </row>
    <row r="458" spans="1:6" ht="12.75">
      <c r="A458" s="150" t="s">
        <v>186</v>
      </c>
      <c r="B458" s="71" t="s">
        <v>181</v>
      </c>
      <c r="C458" s="182"/>
      <c r="D458" s="170"/>
      <c r="E458" s="182">
        <f>'C. Resultados'!E435*100/'C. Resultados'!$F$443</f>
        <v>4.135338345864661</v>
      </c>
      <c r="F458" s="171">
        <f>SUM(C458:E458)</f>
        <v>4.135338345864661</v>
      </c>
    </row>
    <row r="459" spans="1:6" ht="12.75">
      <c r="A459" s="150"/>
      <c r="B459" s="71" t="s">
        <v>182</v>
      </c>
      <c r="C459" s="182">
        <f>'C. Resultados'!C436*100/'C. Resultados'!$F$443</f>
        <v>6.015037593984962</v>
      </c>
      <c r="D459" s="170">
        <f>'C. Resultados'!D436*100/'C. Resultados'!$F$443</f>
        <v>12.781954887218046</v>
      </c>
      <c r="E459" s="182">
        <f>'C. Resultados'!E436*100/'C. Resultados'!$F$443</f>
        <v>3.3834586466165413</v>
      </c>
      <c r="F459" s="171">
        <f>SUM(C459:E459)</f>
        <v>22.18045112781955</v>
      </c>
    </row>
    <row r="460" spans="1:6" ht="12.75">
      <c r="A460" s="150"/>
      <c r="B460" s="71" t="s">
        <v>184</v>
      </c>
      <c r="C460" s="182"/>
      <c r="D460" s="170">
        <f>'C. Resultados'!D437*100/'C. Resultados'!$F$443</f>
        <v>3.3834586466165413</v>
      </c>
      <c r="E460" s="182">
        <f>'C. Resultados'!E437*100/'C. Resultados'!$F$443</f>
        <v>1.5037593984962405</v>
      </c>
      <c r="F460" s="171">
        <f>SUM(C460:E460)</f>
        <v>4.887218045112782</v>
      </c>
    </row>
    <row r="461" spans="1:6" ht="12.75">
      <c r="A461" s="163" t="s">
        <v>190</v>
      </c>
      <c r="B461" s="164"/>
      <c r="C461" s="172">
        <f>SUM(C458:C460)</f>
        <v>6.015037593984962</v>
      </c>
      <c r="D461" s="173">
        <f>SUM(D458:D460)</f>
        <v>16.165413533834588</v>
      </c>
      <c r="E461" s="172">
        <f>SUM(E458:E460)</f>
        <v>9.022556390977444</v>
      </c>
      <c r="F461" s="180">
        <f>SUM(F458:F460)</f>
        <v>31.20300751879699</v>
      </c>
    </row>
    <row r="462" spans="1:6" ht="12.75">
      <c r="A462" s="150" t="s">
        <v>187</v>
      </c>
      <c r="B462" s="71" t="s">
        <v>181</v>
      </c>
      <c r="C462" s="182">
        <f>'C. Resultados'!C439*100/'C. Resultados'!$F$443</f>
        <v>3.007518796992481</v>
      </c>
      <c r="D462" s="170"/>
      <c r="E462" s="182"/>
      <c r="F462" s="171">
        <f>SUM(C462:E462)</f>
        <v>3.007518796992481</v>
      </c>
    </row>
    <row r="463" spans="1:6" ht="12.75">
      <c r="A463" s="93"/>
      <c r="B463" s="71" t="s">
        <v>182</v>
      </c>
      <c r="C463" s="182">
        <f>'C. Resultados'!C440*100/'C. Resultados'!$F$443</f>
        <v>3.007518796992481</v>
      </c>
      <c r="D463" s="170">
        <f>'C. Resultados'!D440*100/'C. Resultados'!$F$443</f>
        <v>6.390977443609023</v>
      </c>
      <c r="E463" s="182">
        <f>'C. Resultados'!E440*100/'C. Resultados'!$F$443</f>
        <v>2.6315789473684212</v>
      </c>
      <c r="F463" s="171">
        <f>SUM(C463:E463)</f>
        <v>12.030075187969924</v>
      </c>
    </row>
    <row r="464" spans="1:6" ht="12.75">
      <c r="A464" s="93"/>
      <c r="B464" s="71" t="s">
        <v>184</v>
      </c>
      <c r="C464" s="182"/>
      <c r="D464" s="170">
        <f>'C. Resultados'!D441*100/'C. Resultados'!$F$443</f>
        <v>3.007518796992481</v>
      </c>
      <c r="E464" s="182">
        <f>'C. Resultados'!E441*100/'C. Resultados'!$F$443</f>
        <v>1.5037593984962405</v>
      </c>
      <c r="F464" s="171">
        <f>SUM(C464:E464)</f>
        <v>4.511278195488721</v>
      </c>
    </row>
    <row r="465" spans="1:6" ht="13.5" thickBot="1">
      <c r="A465" s="165" t="s">
        <v>191</v>
      </c>
      <c r="B465" s="166"/>
      <c r="C465" s="174">
        <f>SUM(C462:C464)</f>
        <v>6.015037593984962</v>
      </c>
      <c r="D465" s="175">
        <f>SUM(D462:D464)</f>
        <v>9.398496240601503</v>
      </c>
      <c r="E465" s="174">
        <f>SUM(E462:E464)</f>
        <v>4.135338345864662</v>
      </c>
      <c r="F465" s="181">
        <f>SUM(F462:F464)</f>
        <v>19.548872180451127</v>
      </c>
    </row>
    <row r="466" spans="1:6" ht="12.75">
      <c r="A466" s="152" t="s">
        <v>192</v>
      </c>
      <c r="B466" s="153"/>
      <c r="C466" s="176">
        <f>SUM(C450:C452,C454:C456,C458:C460,C462:C464)</f>
        <v>28.94736842105263</v>
      </c>
      <c r="D466" s="177">
        <f>SUM(D450:D452,D454:D456,D458:D460,D462:D464)</f>
        <v>46.992481203007515</v>
      </c>
      <c r="E466" s="176">
        <f>SUM(E450:E452,E454:E456,E458:E460,E462:E464)</f>
        <v>24.06015037593985</v>
      </c>
      <c r="F466" s="184">
        <f>SUM(C466:E466)</f>
        <v>100</v>
      </c>
    </row>
    <row r="467" spans="1:6" ht="12.75">
      <c r="A467" s="168" t="s">
        <v>196</v>
      </c>
      <c r="B467" s="169"/>
      <c r="C467" s="178">
        <f>F450+F454+F458+F462</f>
        <v>11.278195488721803</v>
      </c>
      <c r="D467" s="183">
        <f>F451+F455+F459+F463</f>
        <v>71.80451127819549</v>
      </c>
      <c r="E467" s="178">
        <f>F452+F456+F460+F464</f>
        <v>16.917293233082706</v>
      </c>
      <c r="F467" s="179"/>
    </row>
    <row r="470" spans="1:5" ht="12.75">
      <c r="A470" s="200" t="s">
        <v>257</v>
      </c>
      <c r="E470" s="18"/>
    </row>
    <row r="471" spans="1:5" ht="12.75">
      <c r="A471" s="200" t="s">
        <v>285</v>
      </c>
      <c r="E471" s="18"/>
    </row>
    <row r="472" spans="1:5" ht="12.75">
      <c r="A472" s="39" t="s">
        <v>128</v>
      </c>
      <c r="B472" s="669" t="s">
        <v>7</v>
      </c>
      <c r="C472" s="653"/>
      <c r="D472" s="653"/>
      <c r="E472" s="59" t="s">
        <v>32</v>
      </c>
    </row>
    <row r="473" spans="1:5" ht="13.5" thickBot="1">
      <c r="A473" s="34" t="s">
        <v>129</v>
      </c>
      <c r="B473" s="38" t="s">
        <v>181</v>
      </c>
      <c r="C473" s="38" t="s">
        <v>182</v>
      </c>
      <c r="D473" s="38" t="s">
        <v>184</v>
      </c>
      <c r="E473" s="35" t="s">
        <v>197</v>
      </c>
    </row>
    <row r="474" spans="1:5" ht="13.5" thickTop="1">
      <c r="A474" s="93" t="s">
        <v>183</v>
      </c>
      <c r="B474" s="131">
        <f>'C. Resultados'!F427</f>
        <v>3</v>
      </c>
      <c r="C474" s="131">
        <f>'C. Resultados'!F428</f>
        <v>40</v>
      </c>
      <c r="D474" s="131">
        <f>'C. Resultados'!F429</f>
        <v>7</v>
      </c>
      <c r="E474" s="131">
        <f>SUM(B474:D474)</f>
        <v>50</v>
      </c>
    </row>
    <row r="475" spans="1:5" ht="12.75">
      <c r="A475" s="93" t="s">
        <v>185</v>
      </c>
      <c r="B475" s="130">
        <f>'C. Resultados'!F431</f>
        <v>8</v>
      </c>
      <c r="C475" s="130">
        <f>'C. Resultados'!F432</f>
        <v>60</v>
      </c>
      <c r="D475" s="130">
        <f>'C. Resultados'!F433</f>
        <v>13</v>
      </c>
      <c r="E475" s="131">
        <f>SUM(B475:D475)</f>
        <v>81</v>
      </c>
    </row>
    <row r="476" spans="1:5" ht="12.75">
      <c r="A476" s="93" t="s">
        <v>186</v>
      </c>
      <c r="B476" s="130">
        <f>'C. Resultados'!F435</f>
        <v>11</v>
      </c>
      <c r="C476" s="130">
        <f>'C. Resultados'!F436</f>
        <v>59</v>
      </c>
      <c r="D476" s="130">
        <f>'C. Resultados'!F437</f>
        <v>13</v>
      </c>
      <c r="E476" s="131">
        <f>SUM(B476:D476)</f>
        <v>83</v>
      </c>
    </row>
    <row r="477" spans="1:5" ht="13.5" thickBot="1">
      <c r="A477" s="193" t="s">
        <v>187</v>
      </c>
      <c r="B477" s="194">
        <f>'C. Resultados'!F439</f>
        <v>8</v>
      </c>
      <c r="C477" s="194">
        <f>'C. Resultados'!F440</f>
        <v>32</v>
      </c>
      <c r="D477" s="194">
        <f>'C. Resultados'!F441</f>
        <v>12</v>
      </c>
      <c r="E477" s="195">
        <f>SUM(B477:D477)</f>
        <v>52</v>
      </c>
    </row>
    <row r="478" spans="1:5" ht="12.75">
      <c r="A478" s="94" t="s">
        <v>198</v>
      </c>
      <c r="B478" s="188">
        <f>SUM(B474:B477)</f>
        <v>30</v>
      </c>
      <c r="C478" s="188">
        <f>SUM(C474:C477)</f>
        <v>191</v>
      </c>
      <c r="D478" s="188">
        <f>SUM(D474:D477)</f>
        <v>45</v>
      </c>
      <c r="E478" s="188">
        <f>SUM(B474:D477)</f>
        <v>266</v>
      </c>
    </row>
    <row r="479" spans="1:5" ht="12.75">
      <c r="A479" s="95"/>
      <c r="E479" s="18"/>
    </row>
    <row r="480" spans="1:5" ht="12.75">
      <c r="A480" s="95"/>
      <c r="E480" s="18"/>
    </row>
    <row r="481" spans="1:5" ht="12.75">
      <c r="A481" s="200" t="s">
        <v>199</v>
      </c>
      <c r="E481" s="18"/>
    </row>
    <row r="482" spans="1:5" ht="12.75">
      <c r="A482" s="39" t="s">
        <v>128</v>
      </c>
      <c r="B482" s="669" t="s">
        <v>7</v>
      </c>
      <c r="C482" s="653"/>
      <c r="D482" s="653"/>
      <c r="E482" s="59" t="s">
        <v>32</v>
      </c>
    </row>
    <row r="483" spans="1:5" ht="13.5" thickBot="1">
      <c r="A483" s="34" t="s">
        <v>129</v>
      </c>
      <c r="B483" s="38" t="s">
        <v>181</v>
      </c>
      <c r="C483" s="38" t="s">
        <v>182</v>
      </c>
      <c r="D483" s="38" t="s">
        <v>184</v>
      </c>
      <c r="E483" s="35" t="s">
        <v>197</v>
      </c>
    </row>
    <row r="484" spans="1:5" ht="13.5" thickTop="1">
      <c r="A484" s="93" t="s">
        <v>183</v>
      </c>
      <c r="B484" s="197">
        <f aca="true" t="shared" si="17" ref="B484:E487">B474*100/$E$478</f>
        <v>1.1278195488721805</v>
      </c>
      <c r="C484" s="197">
        <f t="shared" si="17"/>
        <v>15.037593984962406</v>
      </c>
      <c r="D484" s="197">
        <f t="shared" si="17"/>
        <v>2.6315789473684212</v>
      </c>
      <c r="E484" s="197">
        <f t="shared" si="17"/>
        <v>18.796992481203006</v>
      </c>
    </row>
    <row r="485" spans="1:5" ht="12.75">
      <c r="A485" s="93" t="s">
        <v>185</v>
      </c>
      <c r="B485" s="197">
        <f t="shared" si="17"/>
        <v>3.007518796992481</v>
      </c>
      <c r="C485" s="197">
        <f t="shared" si="17"/>
        <v>22.55639097744361</v>
      </c>
      <c r="D485" s="197">
        <f t="shared" si="17"/>
        <v>4.887218045112782</v>
      </c>
      <c r="E485" s="197">
        <f t="shared" si="17"/>
        <v>30.451127819548873</v>
      </c>
    </row>
    <row r="486" spans="1:5" ht="12.75">
      <c r="A486" s="93" t="s">
        <v>186</v>
      </c>
      <c r="B486" s="197">
        <f t="shared" si="17"/>
        <v>4.135338345864661</v>
      </c>
      <c r="C486" s="197">
        <f t="shared" si="17"/>
        <v>22.18045112781955</v>
      </c>
      <c r="D486" s="197">
        <f t="shared" si="17"/>
        <v>4.887218045112782</v>
      </c>
      <c r="E486" s="197">
        <f t="shared" si="17"/>
        <v>31.203007518796994</v>
      </c>
    </row>
    <row r="487" spans="1:5" ht="13.5" thickBot="1">
      <c r="A487" s="193" t="s">
        <v>187</v>
      </c>
      <c r="B487" s="199">
        <f t="shared" si="17"/>
        <v>3.007518796992481</v>
      </c>
      <c r="C487" s="199">
        <f t="shared" si="17"/>
        <v>12.030075187969924</v>
      </c>
      <c r="D487" s="199">
        <f t="shared" si="17"/>
        <v>4.511278195488722</v>
      </c>
      <c r="E487" s="199">
        <f t="shared" si="17"/>
        <v>19.548872180451127</v>
      </c>
    </row>
    <row r="488" spans="1:5" ht="12.75">
      <c r="A488" s="94" t="s">
        <v>198</v>
      </c>
      <c r="B488" s="198">
        <f>SUM(B484:B487)</f>
        <v>11.278195488721803</v>
      </c>
      <c r="C488" s="198">
        <f>SUM(C484:C487)</f>
        <v>71.80451127819549</v>
      </c>
      <c r="D488" s="198">
        <f>SUM(D484:D487)</f>
        <v>16.917293233082706</v>
      </c>
      <c r="E488" s="198">
        <f>SUM(B484:D487)</f>
        <v>100.00000000000001</v>
      </c>
    </row>
    <row r="511" spans="1:5" ht="12.75">
      <c r="A511" s="200" t="s">
        <v>202</v>
      </c>
      <c r="E511" s="18"/>
    </row>
    <row r="512" spans="1:5" ht="12.75">
      <c r="A512" s="39" t="s">
        <v>128</v>
      </c>
      <c r="B512" s="667" t="s">
        <v>8</v>
      </c>
      <c r="C512" s="668"/>
      <c r="D512" s="668"/>
      <c r="E512" s="59" t="s">
        <v>201</v>
      </c>
    </row>
    <row r="513" spans="1:5" ht="13.5" thickBot="1">
      <c r="A513" s="34" t="s">
        <v>129</v>
      </c>
      <c r="B513" s="160" t="s">
        <v>181</v>
      </c>
      <c r="C513" s="185" t="s">
        <v>182</v>
      </c>
      <c r="D513" s="160" t="s">
        <v>184</v>
      </c>
      <c r="E513" s="35" t="s">
        <v>129</v>
      </c>
    </row>
    <row r="514" spans="1:5" ht="13.5" thickTop="1">
      <c r="A514" s="93" t="s">
        <v>183</v>
      </c>
      <c r="B514" s="131">
        <f>'C. Resultados'!C430</f>
        <v>15</v>
      </c>
      <c r="C514" s="131">
        <f>'C. Resultados'!D430</f>
        <v>23</v>
      </c>
      <c r="D514" s="131">
        <f>'C. Resultados'!E430</f>
        <v>12</v>
      </c>
      <c r="E514" s="131">
        <f>SUM(B514:D514)</f>
        <v>50</v>
      </c>
    </row>
    <row r="515" spans="1:5" ht="12.75">
      <c r="A515" s="93" t="s">
        <v>185</v>
      </c>
      <c r="B515" s="131">
        <f>'C. Resultados'!C434</f>
        <v>30</v>
      </c>
      <c r="C515" s="131">
        <f>'C. Resultados'!D434</f>
        <v>34</v>
      </c>
      <c r="D515" s="131">
        <f>'C. Resultados'!E434</f>
        <v>17</v>
      </c>
      <c r="E515" s="131">
        <f>SUM(B515:D515)</f>
        <v>81</v>
      </c>
    </row>
    <row r="516" spans="1:5" ht="12.75">
      <c r="A516" s="93" t="s">
        <v>186</v>
      </c>
      <c r="B516" s="131">
        <f>'C. Resultados'!C438</f>
        <v>16</v>
      </c>
      <c r="C516" s="131">
        <f>'C. Resultados'!D438</f>
        <v>43</v>
      </c>
      <c r="D516" s="131">
        <f>'C. Resultados'!E438</f>
        <v>24</v>
      </c>
      <c r="E516" s="131">
        <f>SUM(B516:D516)</f>
        <v>83</v>
      </c>
    </row>
    <row r="517" spans="1:5" ht="13.5" thickBot="1">
      <c r="A517" s="193" t="s">
        <v>187</v>
      </c>
      <c r="B517" s="195">
        <f>'C. Resultados'!C442</f>
        <v>16</v>
      </c>
      <c r="C517" s="195">
        <f>'C. Resultados'!D442</f>
        <v>25</v>
      </c>
      <c r="D517" s="195">
        <f>'C. Resultados'!E442</f>
        <v>11</v>
      </c>
      <c r="E517" s="195">
        <f>SUM(B517:D517)</f>
        <v>52</v>
      </c>
    </row>
    <row r="518" spans="1:5" ht="12.75">
      <c r="A518" s="94" t="s">
        <v>200</v>
      </c>
      <c r="B518" s="188">
        <f>SUM(B514:B517)</f>
        <v>77</v>
      </c>
      <c r="C518" s="188">
        <f>SUM(C514:C517)</f>
        <v>125</v>
      </c>
      <c r="D518" s="188">
        <f>SUM(D514:D517)</f>
        <v>64</v>
      </c>
      <c r="E518" s="188">
        <f>SUM(B514:D517)</f>
        <v>266</v>
      </c>
    </row>
    <row r="519" spans="1:5" ht="12.75">
      <c r="A519" s="95"/>
      <c r="E519" s="18"/>
    </row>
    <row r="520" spans="1:5" ht="12.75">
      <c r="A520" s="95"/>
      <c r="E520" s="18"/>
    </row>
    <row r="521" spans="1:5" ht="12.75">
      <c r="A521" s="95"/>
      <c r="E521" s="18"/>
    </row>
    <row r="522" spans="1:5" ht="12.75">
      <c r="A522" s="200" t="s">
        <v>203</v>
      </c>
      <c r="E522" s="18"/>
    </row>
    <row r="523" spans="1:5" ht="12.75">
      <c r="A523" s="39" t="s">
        <v>128</v>
      </c>
      <c r="B523" s="667" t="s">
        <v>8</v>
      </c>
      <c r="C523" s="668"/>
      <c r="D523" s="668"/>
      <c r="E523" s="59" t="s">
        <v>201</v>
      </c>
    </row>
    <row r="524" spans="1:5" ht="13.5" thickBot="1">
      <c r="A524" s="34" t="s">
        <v>129</v>
      </c>
      <c r="B524" s="160" t="s">
        <v>181</v>
      </c>
      <c r="C524" s="185" t="s">
        <v>182</v>
      </c>
      <c r="D524" s="160" t="s">
        <v>184</v>
      </c>
      <c r="E524" s="35" t="s">
        <v>129</v>
      </c>
    </row>
    <row r="525" spans="1:5" ht="13.5" thickTop="1">
      <c r="A525" s="93" t="s">
        <v>183</v>
      </c>
      <c r="B525" s="197">
        <f aca="true" t="shared" si="18" ref="B525:D528">B514*100/$E$518</f>
        <v>5.639097744360902</v>
      </c>
      <c r="C525" s="197">
        <f t="shared" si="18"/>
        <v>8.646616541353383</v>
      </c>
      <c r="D525" s="197">
        <f t="shared" si="18"/>
        <v>4.511278195488722</v>
      </c>
      <c r="E525" s="197">
        <f>SUM(B525:D525)</f>
        <v>18.796992481203006</v>
      </c>
    </row>
    <row r="526" spans="1:5" ht="12.75">
      <c r="A526" s="93" t="s">
        <v>185</v>
      </c>
      <c r="B526" s="197">
        <f t="shared" si="18"/>
        <v>11.278195488721805</v>
      </c>
      <c r="C526" s="197">
        <f t="shared" si="18"/>
        <v>12.781954887218046</v>
      </c>
      <c r="D526" s="197">
        <f t="shared" si="18"/>
        <v>6.390977443609023</v>
      </c>
      <c r="E526" s="197">
        <f>SUM(B526:D526)</f>
        <v>30.451127819548873</v>
      </c>
    </row>
    <row r="527" spans="1:5" ht="12.75">
      <c r="A527" s="93" t="s">
        <v>186</v>
      </c>
      <c r="B527" s="197">
        <f t="shared" si="18"/>
        <v>6.015037593984962</v>
      </c>
      <c r="C527" s="197">
        <f t="shared" si="18"/>
        <v>16.165413533834588</v>
      </c>
      <c r="D527" s="197">
        <f t="shared" si="18"/>
        <v>9.022556390977444</v>
      </c>
      <c r="E527" s="197">
        <f>SUM(B527:D527)</f>
        <v>31.203007518796994</v>
      </c>
    </row>
    <row r="528" spans="1:5" ht="13.5" thickBot="1">
      <c r="A528" s="193" t="s">
        <v>187</v>
      </c>
      <c r="B528" s="199">
        <f t="shared" si="18"/>
        <v>6.015037593984962</v>
      </c>
      <c r="C528" s="199">
        <f t="shared" si="18"/>
        <v>9.398496240601503</v>
      </c>
      <c r="D528" s="199">
        <f t="shared" si="18"/>
        <v>4.135338345864661</v>
      </c>
      <c r="E528" s="199">
        <f>SUM(B528:D528)</f>
        <v>19.548872180451127</v>
      </c>
    </row>
    <row r="529" spans="1:5" ht="12.75">
      <c r="A529" s="94" t="s">
        <v>200</v>
      </c>
      <c r="B529" s="198">
        <f>SUM(B525:B528)</f>
        <v>28.94736842105263</v>
      </c>
      <c r="C529" s="198">
        <f>SUM(C525:C528)</f>
        <v>46.99248120300752</v>
      </c>
      <c r="D529" s="198">
        <f>SUM(D525:D528)</f>
        <v>24.06015037593985</v>
      </c>
      <c r="E529" s="198">
        <f>SUM(B525:D528)</f>
        <v>100.00000000000001</v>
      </c>
    </row>
    <row r="554" spans="1:5" ht="12.75">
      <c r="A554" s="200" t="s">
        <v>210</v>
      </c>
      <c r="E554" s="18"/>
    </row>
    <row r="555" spans="1:5" ht="12.75">
      <c r="A555" s="190" t="s">
        <v>179</v>
      </c>
      <c r="B555" s="667" t="s">
        <v>8</v>
      </c>
      <c r="C555" s="668"/>
      <c r="D555" s="668"/>
      <c r="E555" s="210" t="s">
        <v>209</v>
      </c>
    </row>
    <row r="556" spans="1:5" ht="13.5" thickBot="1">
      <c r="A556" s="189" t="s">
        <v>180</v>
      </c>
      <c r="B556" s="160" t="s">
        <v>181</v>
      </c>
      <c r="C556" s="185" t="s">
        <v>182</v>
      </c>
      <c r="D556" s="160" t="s">
        <v>184</v>
      </c>
      <c r="E556" s="40" t="s">
        <v>180</v>
      </c>
    </row>
    <row r="557" spans="1:5" ht="13.5" thickTop="1">
      <c r="A557" s="208" t="s">
        <v>181</v>
      </c>
      <c r="B557" s="4">
        <f>'C. Resultados'!C427+'C. Resultados'!C431+'C. Resultados'!C435+'C. Resultados'!C439</f>
        <v>19</v>
      </c>
      <c r="C557" s="15">
        <f>'C. Resultados'!D427+'C. Resultados'!D431+'C. Resultados'!D435+'C. Resultados'!D439</f>
        <v>0</v>
      </c>
      <c r="D557" s="4">
        <f>'C. Resultados'!E427+'C. Resultados'!E431+'C. Resultados'!E435+'C. Resultados'!E439</f>
        <v>11</v>
      </c>
      <c r="E557" s="130">
        <f>SUM(B557:D557)</f>
        <v>30</v>
      </c>
    </row>
    <row r="558" spans="1:5" ht="12.75">
      <c r="A558" s="208" t="s">
        <v>182</v>
      </c>
      <c r="B558" s="4">
        <f>'C. Resultados'!C428+'C. Resultados'!C432+'C. Resultados'!C436+'C. Resultados'!C440</f>
        <v>58</v>
      </c>
      <c r="C558" s="15">
        <f>'C. Resultados'!D428+'C. Resultados'!D432+'C. Resultados'!D436+'C. Resultados'!D440</f>
        <v>93</v>
      </c>
      <c r="D558" s="4">
        <f>'C. Resultados'!E428+'C. Resultados'!E432+'C. Resultados'!E436+'C. Resultados'!E440</f>
        <v>40</v>
      </c>
      <c r="E558" s="130">
        <f>SUM(B558:D558)</f>
        <v>191</v>
      </c>
    </row>
    <row r="559" spans="1:5" ht="13.5" thickBot="1">
      <c r="A559" s="211" t="s">
        <v>184</v>
      </c>
      <c r="B559" s="55">
        <f>'C. Resultados'!C429+'C. Resultados'!C433+'C. Resultados'!C437+'C. Resultados'!C441</f>
        <v>0</v>
      </c>
      <c r="C559" s="68">
        <f>'C. Resultados'!D429+'C. Resultados'!D433+'C. Resultados'!D437+'C. Resultados'!D441</f>
        <v>32</v>
      </c>
      <c r="D559" s="55">
        <f>'C. Resultados'!E429+'C. Resultados'!E433+'C. Resultados'!E437+'C. Resultados'!E441</f>
        <v>13</v>
      </c>
      <c r="E559" s="194">
        <f>SUM(B559:D559)</f>
        <v>45</v>
      </c>
    </row>
    <row r="560" spans="1:5" ht="12.75">
      <c r="A560" s="209" t="s">
        <v>208</v>
      </c>
      <c r="B560" s="7">
        <f>SUM(B557:B559)</f>
        <v>77</v>
      </c>
      <c r="C560" s="43">
        <f>SUM(C557:C559)</f>
        <v>125</v>
      </c>
      <c r="D560" s="7">
        <f>SUM(D557:D559)</f>
        <v>64</v>
      </c>
      <c r="E560" s="137">
        <f>SUM(B557:D559)</f>
        <v>266</v>
      </c>
    </row>
    <row r="561" spans="1:5" ht="12.75">
      <c r="A561" s="95"/>
      <c r="E561" s="18"/>
    </row>
    <row r="562" spans="1:5" ht="12.75">
      <c r="A562" s="95"/>
      <c r="E562" s="18"/>
    </row>
    <row r="563" spans="1:5" ht="12.75">
      <c r="A563" s="200" t="s">
        <v>211</v>
      </c>
      <c r="E563" s="18"/>
    </row>
    <row r="564" spans="1:5" ht="12.75">
      <c r="A564" s="190" t="s">
        <v>179</v>
      </c>
      <c r="B564" s="667" t="s">
        <v>8</v>
      </c>
      <c r="C564" s="668"/>
      <c r="D564" s="668"/>
      <c r="E564" s="210" t="s">
        <v>209</v>
      </c>
    </row>
    <row r="565" spans="1:5" ht="13.5" thickBot="1">
      <c r="A565" s="189" t="s">
        <v>180</v>
      </c>
      <c r="B565" s="160" t="s">
        <v>221</v>
      </c>
      <c r="C565" s="185" t="s">
        <v>222</v>
      </c>
      <c r="D565" s="160" t="s">
        <v>223</v>
      </c>
      <c r="E565" s="40" t="s">
        <v>180</v>
      </c>
    </row>
    <row r="566" spans="1:5" ht="13.5" thickTop="1">
      <c r="A566" s="208" t="s">
        <v>218</v>
      </c>
      <c r="B566" s="96">
        <f aca="true" t="shared" si="19" ref="B566:D568">B557*100/$E$560</f>
        <v>7.142857142857143</v>
      </c>
      <c r="C566" s="96">
        <f t="shared" si="19"/>
        <v>0</v>
      </c>
      <c r="D566" s="96">
        <f t="shared" si="19"/>
        <v>4.135338345864661</v>
      </c>
      <c r="E566" s="212">
        <f>SUM(B566:D566)</f>
        <v>11.278195488721805</v>
      </c>
    </row>
    <row r="567" spans="1:5" ht="12.75">
      <c r="A567" s="208" t="s">
        <v>219</v>
      </c>
      <c r="B567" s="96">
        <f t="shared" si="19"/>
        <v>21.804511278195488</v>
      </c>
      <c r="C567" s="96">
        <f t="shared" si="19"/>
        <v>34.962406015037594</v>
      </c>
      <c r="D567" s="96">
        <f t="shared" si="19"/>
        <v>15.037593984962406</v>
      </c>
      <c r="E567" s="212">
        <f>SUM(B567:D567)</f>
        <v>71.80451127819549</v>
      </c>
    </row>
    <row r="568" spans="1:5" ht="13.5" thickBot="1">
      <c r="A568" s="211" t="s">
        <v>220</v>
      </c>
      <c r="B568" s="215">
        <f t="shared" si="19"/>
        <v>0</v>
      </c>
      <c r="C568" s="215">
        <f t="shared" si="19"/>
        <v>12.030075187969924</v>
      </c>
      <c r="D568" s="215">
        <f t="shared" si="19"/>
        <v>4.887218045112782</v>
      </c>
      <c r="E568" s="213">
        <f>SUM(B568:D568)</f>
        <v>16.917293233082706</v>
      </c>
    </row>
    <row r="569" spans="1:5" ht="12.75">
      <c r="A569" s="209" t="s">
        <v>208</v>
      </c>
      <c r="B569" s="117">
        <f>SUM(B566:B568)</f>
        <v>28.94736842105263</v>
      </c>
      <c r="C569" s="116">
        <f>SUM(C566:C568)</f>
        <v>46.992481203007515</v>
      </c>
      <c r="D569" s="117">
        <f>SUM(D566:D568)</f>
        <v>24.06015037593985</v>
      </c>
      <c r="E569" s="214">
        <f>SUM(B566:D568)</f>
        <v>100</v>
      </c>
    </row>
    <row r="593" spans="1:5" ht="12.75">
      <c r="A593" s="226" t="s">
        <v>258</v>
      </c>
      <c r="B593" s="99"/>
      <c r="C593" s="99"/>
      <c r="D593" s="99"/>
      <c r="E593" s="216"/>
    </row>
    <row r="594" spans="1:5" ht="12.75">
      <c r="A594" s="226" t="s">
        <v>216</v>
      </c>
      <c r="B594" s="99"/>
      <c r="C594" s="99"/>
      <c r="D594" s="99"/>
      <c r="E594" s="216"/>
    </row>
    <row r="595" spans="1:5" ht="12.75">
      <c r="A595" s="39" t="s">
        <v>128</v>
      </c>
      <c r="B595" s="669" t="s">
        <v>7</v>
      </c>
      <c r="C595" s="653"/>
      <c r="D595" s="653"/>
      <c r="E595" s="59" t="s">
        <v>32</v>
      </c>
    </row>
    <row r="596" spans="1:5" ht="13.5" thickBot="1">
      <c r="A596" s="34" t="s">
        <v>129</v>
      </c>
      <c r="B596" s="38" t="s">
        <v>181</v>
      </c>
      <c r="C596" s="103" t="s">
        <v>182</v>
      </c>
      <c r="D596" s="231" t="s">
        <v>184</v>
      </c>
      <c r="E596" s="35" t="s">
        <v>197</v>
      </c>
    </row>
    <row r="597" spans="1:5" ht="13.5" thickTop="1">
      <c r="A597" s="93" t="s">
        <v>183</v>
      </c>
      <c r="B597" s="131">
        <v>3</v>
      </c>
      <c r="C597" s="186">
        <v>40</v>
      </c>
      <c r="D597" s="204">
        <v>7</v>
      </c>
      <c r="E597" s="131">
        <v>50</v>
      </c>
    </row>
    <row r="598" spans="1:5" ht="12.75">
      <c r="A598" s="104" t="s">
        <v>212</v>
      </c>
      <c r="B598" s="196">
        <f>$E597*B$609/$E$609</f>
        <v>5.639097744360902</v>
      </c>
      <c r="C598" s="227">
        <f>$E597*C$609/$E$609</f>
        <v>35.902255639097746</v>
      </c>
      <c r="D598" s="232">
        <f>$E597*D$609/$E$609</f>
        <v>8.458646616541353</v>
      </c>
      <c r="E598" s="131"/>
    </row>
    <row r="599" spans="1:5" ht="12.75">
      <c r="A599" s="104" t="s">
        <v>213</v>
      </c>
      <c r="B599" s="224">
        <f>(ABS(B597-B598)-0.5)^2/B598</f>
        <v>0.8114310776942356</v>
      </c>
      <c r="C599" s="228">
        <f>(ABS(C597-C598)-0.5)^2/C598</f>
        <v>0.3605278904066446</v>
      </c>
      <c r="D599" s="233">
        <f>(ABS(D597-D598)-0.5)^2/D598</f>
        <v>0.1086466165413533</v>
      </c>
      <c r="E599" s="224">
        <f>SUM(B599:D599)</f>
        <v>1.2806055846422335</v>
      </c>
    </row>
    <row r="600" spans="1:5" ht="12.75">
      <c r="A600" s="93" t="s">
        <v>185</v>
      </c>
      <c r="B600" s="130">
        <v>8</v>
      </c>
      <c r="C600" s="134">
        <v>60</v>
      </c>
      <c r="D600" s="234">
        <v>13</v>
      </c>
      <c r="E600" s="131">
        <v>81</v>
      </c>
    </row>
    <row r="601" spans="1:5" ht="12.75">
      <c r="A601" s="104" t="s">
        <v>212</v>
      </c>
      <c r="B601" s="196">
        <f>$E600*B$609/$E$609</f>
        <v>9.135338345864662</v>
      </c>
      <c r="C601" s="227">
        <f>$E600*C$609/$E$609</f>
        <v>58.161654135338345</v>
      </c>
      <c r="D601" s="232">
        <f>$E600*D$609/$E$609</f>
        <v>13.703007518796992</v>
      </c>
      <c r="E601" s="131"/>
    </row>
    <row r="602" spans="1:5" ht="12.75">
      <c r="A602" s="104" t="s">
        <v>213</v>
      </c>
      <c r="B602" s="224">
        <f>(ABS(B600-B601)-0.5)^2/B601</f>
        <v>0.04418608249017613</v>
      </c>
      <c r="C602" s="228">
        <f>(ABS(C600-C601)-0.5)^2/C601</f>
        <v>0.030796401513770874</v>
      </c>
      <c r="D602" s="233">
        <f>(ABS(D600-D601)-0.5)^2/D601</f>
        <v>0.003007518796992479</v>
      </c>
      <c r="E602" s="224">
        <f>SUM(B602:D602)</f>
        <v>0.07799000280093947</v>
      </c>
    </row>
    <row r="603" spans="1:5" ht="12.75">
      <c r="A603" s="93" t="s">
        <v>186</v>
      </c>
      <c r="B603" s="130">
        <v>11</v>
      </c>
      <c r="C603" s="134">
        <v>59</v>
      </c>
      <c r="D603" s="234">
        <v>13</v>
      </c>
      <c r="E603" s="131">
        <v>83</v>
      </c>
    </row>
    <row r="604" spans="1:5" ht="12.75">
      <c r="A604" s="104" t="s">
        <v>212</v>
      </c>
      <c r="B604" s="196">
        <f>$E603*B$609/$E$609</f>
        <v>9.360902255639099</v>
      </c>
      <c r="C604" s="227">
        <f>$E603*C$609/$E$609</f>
        <v>59.597744360902254</v>
      </c>
      <c r="D604" s="232">
        <f>$E603*D$609/$E$609</f>
        <v>14.041353383458647</v>
      </c>
      <c r="E604" s="131"/>
    </row>
    <row r="605" spans="1:5" ht="12.75">
      <c r="A605" s="104" t="s">
        <v>213</v>
      </c>
      <c r="B605" s="224">
        <f>(ABS(B603-B604)-0.5)^2/B604</f>
        <v>0.1386130990125915</v>
      </c>
      <c r="C605" s="228">
        <f>(ABS(C603-C604)-0.5)^2/C604</f>
        <v>0.000160307410802913</v>
      </c>
      <c r="D605" s="233">
        <f>(ABS(D603-D604)-0.5)^2/D604</f>
        <v>0.020871455747803275</v>
      </c>
      <c r="E605" s="224">
        <f>SUM(B605:D605)</f>
        <v>0.1596448621711977</v>
      </c>
    </row>
    <row r="606" spans="1:5" ht="12.75">
      <c r="A606" s="93" t="s">
        <v>187</v>
      </c>
      <c r="B606" s="130">
        <v>8</v>
      </c>
      <c r="C606" s="134">
        <v>32</v>
      </c>
      <c r="D606" s="234">
        <v>12</v>
      </c>
      <c r="E606" s="131">
        <v>52</v>
      </c>
    </row>
    <row r="607" spans="1:5" ht="12.75">
      <c r="A607" s="104" t="s">
        <v>212</v>
      </c>
      <c r="B607" s="196">
        <f>$E606*B$609/$E$609</f>
        <v>5.864661654135339</v>
      </c>
      <c r="C607" s="227">
        <f>$E606*C$609/$E$609</f>
        <v>37.338345864661655</v>
      </c>
      <c r="D607" s="232">
        <f>$E606*D$609/$E$609</f>
        <v>8.796992481203008</v>
      </c>
      <c r="E607" s="131"/>
    </row>
    <row r="608" spans="1:5" ht="13.5" thickBot="1">
      <c r="A608" s="104" t="s">
        <v>213</v>
      </c>
      <c r="B608" s="225">
        <f>(ABS(B606-B607)-0.5)^2/B607</f>
        <v>0.45600780798149193</v>
      </c>
      <c r="C608" s="229">
        <f>(ABS(C606-C607)-0.5)^2/C607</f>
        <v>0.6269584301066804</v>
      </c>
      <c r="D608" s="235">
        <f>(ABS(D606-D607)-0.5)^2/D607</f>
        <v>0.830539489750016</v>
      </c>
      <c r="E608" s="225">
        <f>SUM(B608:D608)</f>
        <v>1.9135057278381884</v>
      </c>
    </row>
    <row r="609" spans="1:5" ht="12.75">
      <c r="A609" s="94" t="s">
        <v>198</v>
      </c>
      <c r="B609" s="188">
        <v>30</v>
      </c>
      <c r="C609" s="187">
        <v>191</v>
      </c>
      <c r="D609" s="207">
        <v>45</v>
      </c>
      <c r="E609" s="188">
        <v>266</v>
      </c>
    </row>
    <row r="610" spans="1:5" ht="12.75">
      <c r="A610" s="208"/>
      <c r="B610" s="99" t="s">
        <v>214</v>
      </c>
      <c r="C610" s="15"/>
      <c r="D610" s="99"/>
      <c r="E610" s="236">
        <f>E608+E605+E602+E599</f>
        <v>3.431746177452559</v>
      </c>
    </row>
    <row r="611" spans="1:5" ht="12.75">
      <c r="A611" s="209"/>
      <c r="B611" s="116" t="s">
        <v>215</v>
      </c>
      <c r="C611" s="116"/>
      <c r="D611" s="116"/>
      <c r="E611" s="237">
        <f>CHIDIST(E610,(4-1)*(3-1))</f>
        <v>0.7530273176983231</v>
      </c>
    </row>
    <row r="614" ht="12.75">
      <c r="B614" s="447"/>
    </row>
    <row r="616" spans="1:5" ht="12.75">
      <c r="A616" s="200" t="s">
        <v>217</v>
      </c>
      <c r="E616" s="18"/>
    </row>
    <row r="617" spans="1:5" ht="12.75">
      <c r="A617" s="39" t="s">
        <v>128</v>
      </c>
      <c r="B617" s="667" t="s">
        <v>8</v>
      </c>
      <c r="C617" s="673"/>
      <c r="D617" s="673"/>
      <c r="E617" s="59" t="s">
        <v>201</v>
      </c>
    </row>
    <row r="618" spans="1:5" ht="13.5" thickBot="1">
      <c r="A618" s="34" t="s">
        <v>129</v>
      </c>
      <c r="B618" s="203" t="s">
        <v>181</v>
      </c>
      <c r="C618" s="203" t="s">
        <v>182</v>
      </c>
      <c r="D618" s="203" t="s">
        <v>184</v>
      </c>
      <c r="E618" s="38" t="s">
        <v>129</v>
      </c>
    </row>
    <row r="619" spans="1:5" ht="13.5" thickTop="1">
      <c r="A619" s="93" t="s">
        <v>183</v>
      </c>
      <c r="B619" s="204">
        <v>15</v>
      </c>
      <c r="C619" s="131">
        <v>23</v>
      </c>
      <c r="D619" s="204">
        <v>12</v>
      </c>
      <c r="E619" s="131">
        <f>SUM(B619:D619)</f>
        <v>50</v>
      </c>
    </row>
    <row r="620" spans="1:5" ht="12.75">
      <c r="A620" s="104" t="s">
        <v>204</v>
      </c>
      <c r="B620" s="205">
        <f>$E619*B$631/$E$631</f>
        <v>14.473684210526315</v>
      </c>
      <c r="C620" s="201">
        <f>$E619*C$631/$E$631</f>
        <v>23.49624060150376</v>
      </c>
      <c r="D620" s="205">
        <f>$E619*D$631/$E$631</f>
        <v>12.030075187969924</v>
      </c>
      <c r="E620" s="131"/>
    </row>
    <row r="621" spans="1:5" ht="12.75">
      <c r="A621" s="105" t="s">
        <v>206</v>
      </c>
      <c r="B621" s="220">
        <f>(ABS(B619-B620)-0.5)^2/B620</f>
        <v>4.784688995215583E-05</v>
      </c>
      <c r="C621" s="217">
        <f>(ABS(C619-C620)-0.5)^2/C620</f>
        <v>6.015037593980432E-07</v>
      </c>
      <c r="D621" s="220">
        <f>(ABS(D619-D620)-0.5)^2/D620</f>
        <v>0.018356437969924866</v>
      </c>
      <c r="E621" s="217">
        <f>SUM(B621:D621)</f>
        <v>0.01840488636363642</v>
      </c>
    </row>
    <row r="622" spans="1:5" ht="12.75">
      <c r="A622" s="93" t="s">
        <v>185</v>
      </c>
      <c r="B622" s="204">
        <v>30</v>
      </c>
      <c r="C622" s="131">
        <v>34</v>
      </c>
      <c r="D622" s="204">
        <v>17</v>
      </c>
      <c r="E622" s="131">
        <f>SUM(B622:D622)</f>
        <v>81</v>
      </c>
    </row>
    <row r="623" spans="1:5" ht="12.75">
      <c r="A623" s="104" t="s">
        <v>204</v>
      </c>
      <c r="B623" s="205">
        <f>$E622*B$631/$E$631</f>
        <v>23.44736842105263</v>
      </c>
      <c r="C623" s="201">
        <f>$E622*C$631/$E$631</f>
        <v>38.06390977443609</v>
      </c>
      <c r="D623" s="205">
        <f>$E622*D$631/$E$631</f>
        <v>19.48872180451128</v>
      </c>
      <c r="E623" s="131"/>
    </row>
    <row r="624" spans="1:5" ht="12.75">
      <c r="A624" s="105" t="s">
        <v>206</v>
      </c>
      <c r="B624" s="206">
        <f>(ABS(B622-B623)-0.5)^2/B623</f>
        <v>1.5624077027585808</v>
      </c>
      <c r="C624" s="202">
        <f>(ABS(C622-C623)-0.5)^2/C623</f>
        <v>0.33368755221386814</v>
      </c>
      <c r="D624" s="206">
        <f>(ABS(D622-D623)-0.5)^2/D623</f>
        <v>0.20293862549893266</v>
      </c>
      <c r="E624" s="202">
        <f>SUM(B624:D624)</f>
        <v>2.0990338804713815</v>
      </c>
    </row>
    <row r="625" spans="1:5" ht="12.75">
      <c r="A625" s="71" t="s">
        <v>186</v>
      </c>
      <c r="B625" s="186">
        <v>16</v>
      </c>
      <c r="C625" s="186">
        <v>43</v>
      </c>
      <c r="D625" s="186">
        <v>24</v>
      </c>
      <c r="E625" s="186">
        <f>SUM(B625:D625)</f>
        <v>83</v>
      </c>
    </row>
    <row r="626" spans="1:5" ht="12.75">
      <c r="A626" s="104" t="s">
        <v>204</v>
      </c>
      <c r="B626" s="205">
        <f>$E625*B$631/$E$631</f>
        <v>24.026315789473685</v>
      </c>
      <c r="C626" s="201">
        <f>$E625*C$631/$E$631</f>
        <v>39.00375939849624</v>
      </c>
      <c r="D626" s="205">
        <f>$E625*D$631/$E$631</f>
        <v>19.969924812030076</v>
      </c>
      <c r="E626" s="131"/>
    </row>
    <row r="627" spans="1:5" ht="12.75">
      <c r="A627" s="105" t="s">
        <v>206</v>
      </c>
      <c r="B627" s="220">
        <f>(ABS(B625-B626)-0.5)^2/B626</f>
        <v>2.357641090678504</v>
      </c>
      <c r="C627" s="217">
        <f>(ABS(C625-C626)-0.5)^2/C626</f>
        <v>0.31339795271310766</v>
      </c>
      <c r="D627" s="220">
        <f>(ABS(D625-D626)-0.5)^2/D626</f>
        <v>0.6240099023915207</v>
      </c>
      <c r="E627" s="217">
        <f>SUM(B627:D627)</f>
        <v>3.2950489457831322</v>
      </c>
    </row>
    <row r="628" spans="1:5" ht="12.75">
      <c r="A628" s="71" t="s">
        <v>187</v>
      </c>
      <c r="B628" s="186">
        <v>16</v>
      </c>
      <c r="C628" s="186">
        <v>25</v>
      </c>
      <c r="D628" s="186">
        <v>11</v>
      </c>
      <c r="E628" s="186">
        <f>SUM(B628:D628)</f>
        <v>52</v>
      </c>
    </row>
    <row r="629" spans="1:5" ht="12.75">
      <c r="A629" s="104" t="s">
        <v>204</v>
      </c>
      <c r="B629" s="205">
        <f>$E628*B$631/$E$631</f>
        <v>15.052631578947368</v>
      </c>
      <c r="C629" s="201">
        <f>$E628*C$631/$E$631</f>
        <v>24.43609022556391</v>
      </c>
      <c r="D629" s="205">
        <f>$E628*D$631/$E$631</f>
        <v>12.511278195488721</v>
      </c>
      <c r="E629" s="131"/>
    </row>
    <row r="630" spans="1:5" ht="13.5" thickBot="1">
      <c r="A630" s="221" t="s">
        <v>206</v>
      </c>
      <c r="B630" s="222">
        <f>(ABS(B628-B629)-0.5)^2/B629</f>
        <v>0.013295914611704103</v>
      </c>
      <c r="C630" s="223">
        <f>(ABS(C628-C629)-0.5)^2/C629</f>
        <v>0.00016714864083285555</v>
      </c>
      <c r="D630" s="222">
        <f>(ABS(D628-D629)-0.5)^2/D629</f>
        <v>0.08174093587333708</v>
      </c>
      <c r="E630" s="223">
        <f>SUM(B630:D630)</f>
        <v>0.09520399912587404</v>
      </c>
    </row>
    <row r="631" spans="1:5" ht="12.75">
      <c r="A631" s="94" t="s">
        <v>200</v>
      </c>
      <c r="B631" s="207">
        <f>B619+B622+B625+B628</f>
        <v>77</v>
      </c>
      <c r="C631" s="188">
        <f>C619+C622+C625+C628</f>
        <v>125</v>
      </c>
      <c r="D631" s="207">
        <f>D619+D622+D625+D628</f>
        <v>64</v>
      </c>
      <c r="E631" s="188">
        <f>SUM(B619:D619,B622:D622,B625:D625,B628:D628)</f>
        <v>266</v>
      </c>
    </row>
    <row r="632" spans="1:5" ht="12.75">
      <c r="A632" s="93"/>
      <c r="B632" s="15"/>
      <c r="C632" s="14" t="s">
        <v>205</v>
      </c>
      <c r="D632" s="15"/>
      <c r="E632" s="218">
        <f>E621+E624+E627</f>
        <v>5.41248771261815</v>
      </c>
    </row>
    <row r="633" spans="1:5" ht="12.75">
      <c r="A633" s="94"/>
      <c r="B633" s="43"/>
      <c r="C633" s="21" t="s">
        <v>207</v>
      </c>
      <c r="D633" s="43"/>
      <c r="E633" s="219">
        <f>CHIDIST(E631,(4-1)*(3-1))</f>
        <v>1.5561006850532752E-54</v>
      </c>
    </row>
    <row r="659" spans="1:5" ht="12.75">
      <c r="A659" s="200" t="s">
        <v>224</v>
      </c>
      <c r="E659" s="18"/>
    </row>
    <row r="660" spans="1:5" ht="12.75">
      <c r="A660" s="190" t="s">
        <v>179</v>
      </c>
      <c r="B660" s="667" t="s">
        <v>8</v>
      </c>
      <c r="C660" s="668"/>
      <c r="D660" s="668"/>
      <c r="E660" s="210" t="s">
        <v>209</v>
      </c>
    </row>
    <row r="661" spans="1:5" ht="13.5" thickBot="1">
      <c r="A661" s="189" t="s">
        <v>180</v>
      </c>
      <c r="B661" s="160" t="s">
        <v>181</v>
      </c>
      <c r="C661" s="185" t="s">
        <v>182</v>
      </c>
      <c r="D661" s="203" t="s">
        <v>184</v>
      </c>
      <c r="E661" s="40" t="s">
        <v>180</v>
      </c>
    </row>
    <row r="662" spans="1:5" ht="13.5" thickTop="1">
      <c r="A662" s="208" t="s">
        <v>181</v>
      </c>
      <c r="B662" s="4">
        <v>19</v>
      </c>
      <c r="C662" s="15">
        <v>0</v>
      </c>
      <c r="D662" s="14">
        <v>11</v>
      </c>
      <c r="E662" s="130">
        <v>30</v>
      </c>
    </row>
    <row r="663" spans="1:5" ht="12.75">
      <c r="A663" s="208"/>
      <c r="B663" s="16">
        <f>$E662*B$671/$E$671</f>
        <v>8.68421052631579</v>
      </c>
      <c r="C663" s="50">
        <f>$E662*C$671/$E$671</f>
        <v>14.097744360902256</v>
      </c>
      <c r="D663" s="238">
        <f>$E662*D$671/$E$671</f>
        <v>7.2180451127819545</v>
      </c>
      <c r="E663" s="133"/>
    </row>
    <row r="664" spans="1:5" ht="12.75">
      <c r="A664" s="209"/>
      <c r="B664" s="122">
        <f>(ABS(B662-B663)-0.5)^2/B663</f>
        <v>11.094816586921851</v>
      </c>
      <c r="C664" s="240">
        <f>(ABS(C662-C663)-0.5)^2/C663</f>
        <v>13.115477694235588</v>
      </c>
      <c r="D664" s="241">
        <f>(ABS(D662-D663)-0.5)^2/D663</f>
        <v>1.4922638627819553</v>
      </c>
      <c r="E664" s="242">
        <f>SUM(B664:D664)</f>
        <v>25.70255814393939</v>
      </c>
    </row>
    <row r="665" spans="1:5" ht="12.75">
      <c r="A665" s="208" t="s">
        <v>182</v>
      </c>
      <c r="B665" s="4">
        <v>58</v>
      </c>
      <c r="C665" s="15">
        <v>93</v>
      </c>
      <c r="D665" s="14">
        <v>40</v>
      </c>
      <c r="E665" s="130">
        <v>191</v>
      </c>
    </row>
    <row r="666" spans="1:5" ht="12.75">
      <c r="A666" s="208"/>
      <c r="B666" s="16">
        <f>$E665*B$671/$E$671</f>
        <v>55.28947368421053</v>
      </c>
      <c r="C666" s="50">
        <f>$E665*C$671/$E$671</f>
        <v>89.75563909774436</v>
      </c>
      <c r="D666" s="238">
        <f>$E665*D$671/$E$671</f>
        <v>45.954887218045116</v>
      </c>
      <c r="E666" s="133"/>
    </row>
    <row r="667" spans="1:5" ht="12.75">
      <c r="A667" s="209"/>
      <c r="B667" s="122">
        <f>(ABS(B665-B666)-0.5)^2/B666</f>
        <v>0.08837896740900314</v>
      </c>
      <c r="C667" s="240">
        <f>(ABS(C665-C666)-0.5)^2/C666</f>
        <v>0.08391134905326122</v>
      </c>
      <c r="D667" s="241">
        <f>(ABS(D665-D666)-0.5)^2/D666</f>
        <v>0.6475001107152705</v>
      </c>
      <c r="E667" s="242">
        <f>SUM(B667:D667)</f>
        <v>0.8197904271775348</v>
      </c>
    </row>
    <row r="668" spans="1:5" ht="12.75">
      <c r="A668" s="208" t="s">
        <v>184</v>
      </c>
      <c r="B668" s="4">
        <v>0</v>
      </c>
      <c r="C668" s="15">
        <v>32</v>
      </c>
      <c r="D668" s="14">
        <v>13</v>
      </c>
      <c r="E668" s="130">
        <v>45</v>
      </c>
    </row>
    <row r="669" spans="1:5" ht="12.75">
      <c r="A669" s="208"/>
      <c r="B669" s="16">
        <f>$E668*B$671/$E$671</f>
        <v>13.026315789473685</v>
      </c>
      <c r="C669" s="50">
        <f>$E668*C$671/$E$671</f>
        <v>21.146616541353385</v>
      </c>
      <c r="D669" s="238">
        <f>$E668*D$671/$E$671</f>
        <v>10.827067669172932</v>
      </c>
      <c r="E669" s="133"/>
    </row>
    <row r="670" spans="1:5" ht="13.5" thickBot="1">
      <c r="A670" s="211"/>
      <c r="B670" s="243">
        <f>(ABS(B668-B669)-0.5)^2/B669</f>
        <v>12.045507708665603</v>
      </c>
      <c r="C670" s="244">
        <f>(ABS(C668-C669)-0.5)^2/C669</f>
        <v>5.069016541353381</v>
      </c>
      <c r="D670" s="245">
        <f>(ABS(D668-D669)-0.5)^2/D669</f>
        <v>0.25849128028404367</v>
      </c>
      <c r="E670" s="246">
        <f>SUM(B670:D670)</f>
        <v>17.37301553030303</v>
      </c>
    </row>
    <row r="671" spans="1:5" ht="12.75">
      <c r="A671" s="209" t="s">
        <v>200</v>
      </c>
      <c r="B671" s="7">
        <v>77</v>
      </c>
      <c r="C671" s="43">
        <v>125</v>
      </c>
      <c r="D671" s="21">
        <v>64</v>
      </c>
      <c r="E671" s="137">
        <v>266</v>
      </c>
    </row>
    <row r="672" spans="1:5" ht="12.75">
      <c r="A672" s="93"/>
      <c r="B672" s="15"/>
      <c r="C672" s="190" t="s">
        <v>205</v>
      </c>
      <c r="D672" s="239"/>
      <c r="E672" s="247">
        <f>E670+E667+E664</f>
        <v>43.89536410141996</v>
      </c>
    </row>
    <row r="673" spans="1:5" ht="12.75">
      <c r="A673" s="94"/>
      <c r="B673" s="43"/>
      <c r="C673" s="94" t="s">
        <v>207</v>
      </c>
      <c r="D673" s="85"/>
      <c r="E673" s="248">
        <f>CHIDIST(E672,(3-1)*(3-1))</f>
        <v>6.7449947935306405E-09</v>
      </c>
    </row>
    <row r="696" ht="12.75">
      <c r="A696" s="200" t="s">
        <v>259</v>
      </c>
    </row>
    <row r="698" ht="12.75">
      <c r="A698" s="200" t="s">
        <v>247</v>
      </c>
    </row>
    <row r="699" spans="1:8" ht="12.75">
      <c r="A699" s="31" t="s">
        <v>174</v>
      </c>
      <c r="B699" s="31"/>
      <c r="C699" s="31"/>
      <c r="D699" s="31"/>
      <c r="E699" s="31"/>
      <c r="F699" s="31"/>
      <c r="G699" s="31"/>
      <c r="H699" s="31"/>
    </row>
    <row r="700" spans="1:8" ht="13.5" thickBot="1">
      <c r="A700" s="31"/>
      <c r="B700" s="31"/>
      <c r="C700" s="31"/>
      <c r="D700" s="31"/>
      <c r="E700" s="31"/>
      <c r="F700" s="31"/>
      <c r="G700" s="31"/>
      <c r="H700" s="31"/>
    </row>
    <row r="701" spans="1:8" ht="12.75">
      <c r="A701" s="643" t="s">
        <v>227</v>
      </c>
      <c r="B701" s="644"/>
      <c r="C701" s="31"/>
      <c r="D701" s="31"/>
      <c r="E701" s="31"/>
      <c r="F701" s="31"/>
      <c r="G701" s="31"/>
      <c r="H701" s="31"/>
    </row>
    <row r="702" spans="1:8" ht="12.75">
      <c r="A702" s="645" t="s">
        <v>228</v>
      </c>
      <c r="B702" s="126">
        <v>0.8865495700197793</v>
      </c>
      <c r="C702" s="31"/>
      <c r="D702" s="31"/>
      <c r="E702" s="31"/>
      <c r="F702" s="31"/>
      <c r="G702" s="31"/>
      <c r="H702" s="31"/>
    </row>
    <row r="703" spans="1:8" ht="12.75">
      <c r="A703" s="645" t="s">
        <v>229</v>
      </c>
      <c r="B703" s="126">
        <v>0.7859701401022556</v>
      </c>
      <c r="C703" s="31"/>
      <c r="D703" s="31"/>
      <c r="E703" s="31"/>
      <c r="F703" s="31"/>
      <c r="G703" s="31"/>
      <c r="H703" s="31"/>
    </row>
    <row r="704" spans="1:8" ht="12.75">
      <c r="A704" s="645" t="s">
        <v>230</v>
      </c>
      <c r="B704" s="126">
        <v>0.7835194165156403</v>
      </c>
      <c r="C704" s="31"/>
      <c r="D704" s="31"/>
      <c r="E704" s="31"/>
      <c r="F704" s="31"/>
      <c r="G704" s="31"/>
      <c r="H704" s="31"/>
    </row>
    <row r="705" spans="1:8" ht="12.75">
      <c r="A705" s="645" t="s">
        <v>23</v>
      </c>
      <c r="B705" s="126">
        <v>0.250781507447311</v>
      </c>
      <c r="C705" s="31"/>
      <c r="D705" s="31"/>
      <c r="E705" s="31"/>
      <c r="F705" s="31"/>
      <c r="G705" s="31"/>
      <c r="H705" s="31"/>
    </row>
    <row r="706" spans="1:8" ht="13.5" thickBot="1">
      <c r="A706" s="646" t="s">
        <v>231</v>
      </c>
      <c r="B706" s="125">
        <v>266</v>
      </c>
      <c r="C706" s="31"/>
      <c r="D706" s="31"/>
      <c r="E706" s="31"/>
      <c r="F706" s="31"/>
      <c r="G706" s="31"/>
      <c r="H706" s="31"/>
    </row>
    <row r="707" spans="1:8" ht="12.75">
      <c r="A707" s="31"/>
      <c r="B707" s="31"/>
      <c r="C707" s="31"/>
      <c r="D707" s="31"/>
      <c r="E707" s="31"/>
      <c r="F707" s="31"/>
      <c r="G707" s="31"/>
      <c r="H707" s="31"/>
    </row>
    <row r="708" spans="1:8" ht="12.75">
      <c r="A708" s="31" t="s">
        <v>232</v>
      </c>
      <c r="B708" s="31"/>
      <c r="C708" s="31"/>
      <c r="D708" s="31"/>
      <c r="E708" s="31"/>
      <c r="F708" s="31"/>
      <c r="G708" s="31"/>
      <c r="H708" s="31"/>
    </row>
    <row r="709" spans="1:8" ht="12.75">
      <c r="A709" s="647" t="s">
        <v>240</v>
      </c>
      <c r="B709" s="647" t="s">
        <v>154</v>
      </c>
      <c r="C709" s="647" t="s">
        <v>152</v>
      </c>
      <c r="D709" s="647" t="s">
        <v>244</v>
      </c>
      <c r="E709" s="647" t="s">
        <v>36</v>
      </c>
      <c r="F709" s="647" t="s">
        <v>245</v>
      </c>
      <c r="G709" s="647" t="s">
        <v>246</v>
      </c>
      <c r="H709" s="647"/>
    </row>
    <row r="710" spans="1:8" ht="13.5" thickBot="1">
      <c r="A710" s="648" t="s">
        <v>241</v>
      </c>
      <c r="B710" s="648" t="s">
        <v>242</v>
      </c>
      <c r="C710" s="648" t="s">
        <v>243</v>
      </c>
      <c r="D710" s="648" t="s">
        <v>243</v>
      </c>
      <c r="E710" s="648" t="s">
        <v>148</v>
      </c>
      <c r="F710" s="648" t="s">
        <v>148</v>
      </c>
      <c r="G710" s="649">
        <v>0.05</v>
      </c>
      <c r="H710" s="649">
        <v>0.01</v>
      </c>
    </row>
    <row r="711" spans="1:8" ht="13.5" thickTop="1">
      <c r="A711" s="645" t="s">
        <v>233</v>
      </c>
      <c r="B711" s="32">
        <v>3</v>
      </c>
      <c r="C711" s="126">
        <v>60.5095590783116</v>
      </c>
      <c r="D711" s="126">
        <v>20.169853026103866</v>
      </c>
      <c r="E711" s="126">
        <v>320.7094200238758</v>
      </c>
      <c r="F711" s="126">
        <v>2.2522841010213142E-87</v>
      </c>
      <c r="G711" s="650">
        <f>FINV(G710,$B$711,$B$712)</f>
        <v>2.639055989867747</v>
      </c>
      <c r="H711" s="650">
        <f>FINV(H710,$B$711,$B$712)</f>
        <v>3.857208361899467</v>
      </c>
    </row>
    <row r="712" spans="1:8" ht="12.75">
      <c r="A712" s="645" t="s">
        <v>234</v>
      </c>
      <c r="B712" s="32">
        <v>262</v>
      </c>
      <c r="C712" s="126">
        <v>16.477537493116973</v>
      </c>
      <c r="D712" s="126">
        <v>0.0628913644775457</v>
      </c>
      <c r="E712" s="126"/>
      <c r="F712" s="126"/>
      <c r="G712" s="31"/>
      <c r="H712" s="31"/>
    </row>
    <row r="713" spans="1:8" ht="13.5" thickBot="1">
      <c r="A713" s="646" t="s">
        <v>105</v>
      </c>
      <c r="B713" s="125">
        <v>265</v>
      </c>
      <c r="C713" s="127">
        <v>76.98709657142857</v>
      </c>
      <c r="D713" s="127"/>
      <c r="E713" s="127"/>
      <c r="F713" s="127"/>
      <c r="G713" s="651"/>
      <c r="H713" s="651"/>
    </row>
    <row r="714" spans="1:8" ht="13.5" thickBot="1">
      <c r="A714" s="31"/>
      <c r="B714" s="31"/>
      <c r="C714" s="31"/>
      <c r="D714" s="31"/>
      <c r="E714" s="31"/>
      <c r="F714" s="31"/>
      <c r="G714" s="31"/>
      <c r="H714" s="31"/>
    </row>
    <row r="715" spans="1:8" ht="12.75">
      <c r="A715" s="652"/>
      <c r="B715" s="652" t="s">
        <v>236</v>
      </c>
      <c r="C715" s="652" t="s">
        <v>23</v>
      </c>
      <c r="D715" s="652" t="s">
        <v>237</v>
      </c>
      <c r="E715" s="652" t="s">
        <v>136</v>
      </c>
      <c r="F715" s="652" t="s">
        <v>238</v>
      </c>
      <c r="G715" s="652" t="s">
        <v>239</v>
      </c>
      <c r="H715" s="31"/>
    </row>
    <row r="716" spans="1:8" ht="12.75">
      <c r="A716" s="645" t="s">
        <v>235</v>
      </c>
      <c r="B716" s="126">
        <v>2.2072419605174587</v>
      </c>
      <c r="C716" s="126">
        <v>0.07474201048642204</v>
      </c>
      <c r="D716" s="126">
        <v>29.53147695857654</v>
      </c>
      <c r="E716" s="126">
        <v>2.4358951887452493E-85</v>
      </c>
      <c r="F716" s="126">
        <v>2.0600704829805148</v>
      </c>
      <c r="G716" s="126">
        <v>2.3544134380544026</v>
      </c>
      <c r="H716" s="31"/>
    </row>
    <row r="717" spans="1:8" ht="12.75">
      <c r="A717" s="645" t="s">
        <v>197</v>
      </c>
      <c r="B717" s="126">
        <v>0.018919407081646203</v>
      </c>
      <c r="C717" s="126">
        <v>0.0006100700920905763</v>
      </c>
      <c r="D717" s="126">
        <v>31.01185802571234</v>
      </c>
      <c r="E717" s="126">
        <v>1.1340976049834722E-89</v>
      </c>
      <c r="F717" s="126">
        <v>0.017718142675327078</v>
      </c>
      <c r="G717" s="126">
        <v>0.020120671487965328</v>
      </c>
      <c r="H717" s="31"/>
    </row>
    <row r="718" spans="1:8" ht="12.75">
      <c r="A718" s="645" t="s">
        <v>225</v>
      </c>
      <c r="B718" s="126">
        <v>0.0007848615349073602</v>
      </c>
      <c r="C718" s="126">
        <v>0.0009866670987522337</v>
      </c>
      <c r="D718" s="126">
        <v>0.7954674235108454</v>
      </c>
      <c r="E718" s="126">
        <v>0.4270617223113794</v>
      </c>
      <c r="F718" s="126">
        <v>-0.0011579448442016887</v>
      </c>
      <c r="G718" s="126">
        <v>0.0027276679140164095</v>
      </c>
      <c r="H718" s="31"/>
    </row>
    <row r="719" spans="1:8" ht="13.5" thickBot="1">
      <c r="A719" s="646" t="s">
        <v>226</v>
      </c>
      <c r="B719" s="127">
        <v>-3.139933569841225E-05</v>
      </c>
      <c r="C719" s="127">
        <v>0.0007275441405000071</v>
      </c>
      <c r="D719" s="127">
        <v>-0.04315798032107434</v>
      </c>
      <c r="E719" s="127">
        <v>0.9656084733852968</v>
      </c>
      <c r="F719" s="127">
        <v>-0.001463977151492966</v>
      </c>
      <c r="G719" s="127">
        <v>0.0014011784800961413</v>
      </c>
      <c r="H719" s="31"/>
    </row>
    <row r="721" ht="12.75">
      <c r="A721" s="443" t="s">
        <v>290</v>
      </c>
    </row>
    <row r="722" spans="1:3" ht="12.75">
      <c r="A722" s="419"/>
      <c r="B722" s="420" t="s">
        <v>287</v>
      </c>
      <c r="C722" s="498" t="s">
        <v>289</v>
      </c>
    </row>
    <row r="723" spans="1:3" ht="13.5" thickBot="1">
      <c r="A723" s="426" t="s">
        <v>128</v>
      </c>
      <c r="B723" s="499" t="s">
        <v>288</v>
      </c>
      <c r="C723" s="500" t="s">
        <v>286</v>
      </c>
    </row>
    <row r="724" spans="1:3" ht="12.75">
      <c r="A724" s="382" t="s">
        <v>183</v>
      </c>
      <c r="B724" s="379">
        <v>25</v>
      </c>
      <c r="C724" s="404">
        <f>ROUND($B$716+$B$717*B724,3)</f>
        <v>2.68</v>
      </c>
    </row>
    <row r="725" spans="1:3" ht="12.75">
      <c r="A725" s="382" t="s">
        <v>185</v>
      </c>
      <c r="B725" s="379">
        <v>50</v>
      </c>
      <c r="C725" s="404">
        <f>ROUND($B$716+$B$717*B725,3)</f>
        <v>3.153</v>
      </c>
    </row>
    <row r="726" spans="1:3" ht="12.75">
      <c r="A726" s="382" t="s">
        <v>186</v>
      </c>
      <c r="B726" s="379">
        <v>75</v>
      </c>
      <c r="C726" s="404">
        <f>ROUND($B$716+$B$717*B726,3)</f>
        <v>3.626</v>
      </c>
    </row>
    <row r="727" spans="1:3" ht="12.75">
      <c r="A727" s="433" t="s">
        <v>187</v>
      </c>
      <c r="B727" s="501">
        <v>100</v>
      </c>
      <c r="C727" s="502">
        <f>ROUND($B$716+$B$717*B727,3)</f>
        <v>4.099</v>
      </c>
    </row>
    <row r="749" ht="12.75">
      <c r="A749" s="200" t="s">
        <v>248</v>
      </c>
    </row>
    <row r="751" spans="1:7" ht="13.5" thickBot="1">
      <c r="A751" s="610" t="s">
        <v>323</v>
      </c>
      <c r="B751" s="503"/>
      <c r="C751" s="503"/>
      <c r="D751" s="503"/>
      <c r="E751" s="503"/>
      <c r="F751" s="503"/>
      <c r="G751" s="503"/>
    </row>
    <row r="752" spans="1:7" ht="12.75">
      <c r="A752" s="517"/>
      <c r="B752" s="517" t="s">
        <v>35</v>
      </c>
      <c r="C752" s="517" t="s">
        <v>4</v>
      </c>
      <c r="D752" s="517" t="s">
        <v>34</v>
      </c>
      <c r="E752" s="517" t="s">
        <v>197</v>
      </c>
      <c r="F752" s="517" t="s">
        <v>225</v>
      </c>
      <c r="G752" s="517" t="s">
        <v>226</v>
      </c>
    </row>
    <row r="753" spans="1:7" ht="12.75">
      <c r="A753" s="506" t="s">
        <v>35</v>
      </c>
      <c r="B753" s="507">
        <v>1</v>
      </c>
      <c r="C753" s="513"/>
      <c r="D753" s="513"/>
      <c r="E753" s="513"/>
      <c r="F753" s="513"/>
      <c r="G753" s="513"/>
    </row>
    <row r="754" spans="1:7" ht="12.75">
      <c r="A754" s="506" t="s">
        <v>4</v>
      </c>
      <c r="B754" s="507">
        <v>-0.02079346361300534</v>
      </c>
      <c r="C754" s="507">
        <v>1</v>
      </c>
      <c r="D754" s="513"/>
      <c r="E754" s="513"/>
      <c r="F754" s="513"/>
      <c r="G754" s="513"/>
    </row>
    <row r="755" spans="1:7" ht="12.75">
      <c r="A755" s="506" t="s">
        <v>34</v>
      </c>
      <c r="B755" s="507">
        <v>0.11829268675746539</v>
      </c>
      <c r="C755" s="507">
        <v>0.07213315918714609</v>
      </c>
      <c r="D755" s="507">
        <v>1</v>
      </c>
      <c r="E755" s="513"/>
      <c r="F755" s="513"/>
      <c r="G755" s="513"/>
    </row>
    <row r="756" spans="1:7" ht="12.75">
      <c r="A756" s="506" t="s">
        <v>197</v>
      </c>
      <c r="B756" s="507">
        <v>0.8862017430369629</v>
      </c>
      <c r="C756" s="507">
        <v>0.007122237063761755</v>
      </c>
      <c r="D756" s="507">
        <v>0.11524544985700266</v>
      </c>
      <c r="E756" s="507">
        <v>1</v>
      </c>
      <c r="F756" s="513"/>
      <c r="G756" s="513"/>
    </row>
    <row r="757" spans="1:7" ht="12.75">
      <c r="A757" s="506" t="s">
        <v>225</v>
      </c>
      <c r="B757" s="507">
        <v>0.014000719816699607</v>
      </c>
      <c r="C757" s="507">
        <v>0.10442030925121756</v>
      </c>
      <c r="D757" s="507">
        <v>-0.008766000165607364</v>
      </c>
      <c r="E757" s="507">
        <v>-0.012185069718228681</v>
      </c>
      <c r="F757" s="507">
        <v>1</v>
      </c>
      <c r="G757" s="513"/>
    </row>
    <row r="758" spans="1:7" ht="13.5" thickBot="1">
      <c r="A758" s="508" t="s">
        <v>226</v>
      </c>
      <c r="B758" s="515">
        <v>-0.0037375843033424787</v>
      </c>
      <c r="C758" s="515">
        <v>0.009397150931450405</v>
      </c>
      <c r="D758" s="515">
        <v>-0.0404162778025597</v>
      </c>
      <c r="E758" s="515">
        <v>-0.01548319907877474</v>
      </c>
      <c r="F758" s="515">
        <v>0.4471898857171201</v>
      </c>
      <c r="G758" s="611">
        <v>1</v>
      </c>
    </row>
    <row r="759" spans="1:5" ht="12.75">
      <c r="A759" s="95"/>
      <c r="E759" s="18"/>
    </row>
    <row r="760" spans="1:5" ht="13.5" thickBot="1">
      <c r="A760" s="200" t="s">
        <v>249</v>
      </c>
      <c r="E760" s="18"/>
    </row>
    <row r="761" spans="1:7" ht="12.75">
      <c r="A761" s="250"/>
      <c r="B761" s="250" t="s">
        <v>35</v>
      </c>
      <c r="C761" s="250" t="s">
        <v>197</v>
      </c>
      <c r="D761" s="250" t="s">
        <v>225</v>
      </c>
      <c r="E761" s="250" t="s">
        <v>226</v>
      </c>
      <c r="F761" s="250" t="s">
        <v>4</v>
      </c>
      <c r="G761" s="250" t="s">
        <v>34</v>
      </c>
    </row>
    <row r="762" spans="1:5" ht="12.75">
      <c r="A762" s="251" t="s">
        <v>35</v>
      </c>
      <c r="B762" s="76">
        <v>1</v>
      </c>
      <c r="E762" s="18"/>
    </row>
    <row r="763" spans="1:5" ht="12.75">
      <c r="A763" s="251" t="s">
        <v>197</v>
      </c>
      <c r="B763" s="76">
        <f>FDIST((264*B754^2)/(1-B754^2),1,264)</f>
        <v>0.7356868657918586</v>
      </c>
      <c r="C763">
        <v>1</v>
      </c>
      <c r="E763" s="18"/>
    </row>
    <row r="764" spans="1:5" ht="12.75">
      <c r="A764" s="251" t="s">
        <v>225</v>
      </c>
      <c r="B764" s="519">
        <f aca="true" t="shared" si="20" ref="B764:C767">FDIST((264*B755^2)/(1-B755^2),1,264)</f>
        <v>0.0539820606823884</v>
      </c>
      <c r="C764" s="76">
        <f t="shared" si="20"/>
        <v>0.2410189700343719</v>
      </c>
      <c r="D764">
        <v>1</v>
      </c>
      <c r="E764" s="18"/>
    </row>
    <row r="765" spans="1:5" ht="12.75">
      <c r="A765" s="251" t="s">
        <v>226</v>
      </c>
      <c r="B765" s="518">
        <f t="shared" si="20"/>
        <v>3.390661114284663E-90</v>
      </c>
      <c r="C765" s="76">
        <f t="shared" si="20"/>
        <v>0.9079580010456056</v>
      </c>
      <c r="D765" s="76">
        <f>FDIST((264*D756^2)/(1-D756^2),1,264)</f>
        <v>0.06051764838447484</v>
      </c>
      <c r="E765" s="18">
        <v>1</v>
      </c>
    </row>
    <row r="766" spans="1:6" ht="12.75">
      <c r="A766" s="251" t="s">
        <v>4</v>
      </c>
      <c r="B766" s="76">
        <f t="shared" si="20"/>
        <v>0.8202055617892262</v>
      </c>
      <c r="C766" s="76">
        <f t="shared" si="20"/>
        <v>0.08919249947744279</v>
      </c>
      <c r="D766" s="76">
        <f>FDIST((264*D757^2)/(1-D757^2),1,264)</f>
        <v>0.8868441797735525</v>
      </c>
      <c r="E766" s="76">
        <f>FDIST((264*E757^2)/(1-E757^2),1,264)</f>
        <v>0.8431984962654224</v>
      </c>
      <c r="F766">
        <v>1</v>
      </c>
    </row>
    <row r="767" spans="1:7" ht="13.5" thickBot="1">
      <c r="A767" s="252" t="s">
        <v>34</v>
      </c>
      <c r="B767" s="56">
        <f t="shared" si="20"/>
        <v>0.9516209983608108</v>
      </c>
      <c r="C767" s="56">
        <f t="shared" si="20"/>
        <v>0.8787575116917555</v>
      </c>
      <c r="D767" s="56">
        <f>FDIST((264*D758^2)/(1-D758^2),1,264)</f>
        <v>0.5116095944300807</v>
      </c>
      <c r="E767" s="56">
        <f>FDIST((264*E758^2)/(1-E758^2),1,264)</f>
        <v>0.8015441707982386</v>
      </c>
      <c r="F767" s="56">
        <f>FDIST((264*F758^2)/(1-F758^2),1,264)</f>
        <v>1.7511703109018127E-14</v>
      </c>
      <c r="G767" s="68">
        <v>1</v>
      </c>
    </row>
    <row r="770" ht="12.75">
      <c r="A770" s="13" t="s">
        <v>313</v>
      </c>
    </row>
    <row r="771" ht="12.75">
      <c r="A771" s="13" t="s">
        <v>291</v>
      </c>
    </row>
    <row r="773" spans="1:3" ht="13.5" thickBot="1">
      <c r="A773" s="335" t="s">
        <v>292</v>
      </c>
      <c r="B773" s="111"/>
      <c r="C773" s="20"/>
    </row>
    <row r="774" spans="1:3" ht="13.5" thickTop="1">
      <c r="A774" s="371" t="s">
        <v>56</v>
      </c>
      <c r="B774" s="15"/>
      <c r="C774" s="17">
        <f>D13</f>
        <v>3.4481428571428565</v>
      </c>
    </row>
    <row r="775" spans="1:3" ht="12.75">
      <c r="A775" s="371" t="s">
        <v>293</v>
      </c>
      <c r="B775" s="15"/>
      <c r="C775" s="16">
        <f>D408</f>
        <v>0.06047566608859625</v>
      </c>
    </row>
    <row r="776" spans="1:3" ht="12.75">
      <c r="A776" s="371" t="s">
        <v>294</v>
      </c>
      <c r="B776" s="15"/>
      <c r="C776" s="16">
        <f>NORMSINV(0.01/2)</f>
        <v>-2.5758293035489155</v>
      </c>
    </row>
    <row r="777" spans="1:3" ht="12.75">
      <c r="A777" s="371" t="s">
        <v>295</v>
      </c>
      <c r="B777" s="15"/>
      <c r="C777" s="17">
        <f>C774*0.025</f>
        <v>0.08620357142857142</v>
      </c>
    </row>
    <row r="778" spans="1:3" ht="12.75">
      <c r="A778" s="369" t="s">
        <v>296</v>
      </c>
      <c r="B778" s="43"/>
      <c r="C778" s="167">
        <f>ROUND(C776^2*C775/C777^2+0.5,0)</f>
        <v>54</v>
      </c>
    </row>
    <row r="781" spans="1:2" ht="12.75">
      <c r="A781" s="536" t="s">
        <v>309</v>
      </c>
      <c r="B781" s="536" t="s">
        <v>310</v>
      </c>
    </row>
    <row r="782" spans="1:4" ht="13.5" thickBot="1">
      <c r="A782" s="522" t="s">
        <v>299</v>
      </c>
      <c r="B782" s="338" t="s">
        <v>33</v>
      </c>
      <c r="C782" s="523" t="s">
        <v>297</v>
      </c>
      <c r="D782" s="524" t="s">
        <v>298</v>
      </c>
    </row>
    <row r="783" spans="1:4" ht="13.5" thickTop="1">
      <c r="A783" s="336" t="s">
        <v>138</v>
      </c>
      <c r="B783" s="526">
        <v>50</v>
      </c>
      <c r="C783" s="527">
        <f>B783/$B$787</f>
        <v>0.18796992481203006</v>
      </c>
      <c r="D783" s="528">
        <f>ROUND(C783*$C$778+0.5,0)</f>
        <v>11</v>
      </c>
    </row>
    <row r="784" spans="1:4" ht="12.75">
      <c r="A784" s="336" t="s">
        <v>139</v>
      </c>
      <c r="B784" s="332">
        <v>81</v>
      </c>
      <c r="C784" s="16">
        <f>B784/$B$787</f>
        <v>0.30451127819548873</v>
      </c>
      <c r="D784" s="114">
        <f>ROUND(C784*$C$778+0.5,0)</f>
        <v>17</v>
      </c>
    </row>
    <row r="785" spans="1:4" ht="12.75">
      <c r="A785" s="336" t="s">
        <v>140</v>
      </c>
      <c r="B785" s="332">
        <v>83</v>
      </c>
      <c r="C785" s="16">
        <f>B785/$B$787</f>
        <v>0.31203007518796994</v>
      </c>
      <c r="D785" s="114">
        <f>ROUND(C785*$C$778+0.5,0)</f>
        <v>17</v>
      </c>
    </row>
    <row r="786" spans="1:4" ht="13.5" thickBot="1">
      <c r="A786" s="520" t="s">
        <v>141</v>
      </c>
      <c r="B786" s="521">
        <v>52</v>
      </c>
      <c r="C786" s="82">
        <f>B786/$B$787</f>
        <v>0.19548872180451127</v>
      </c>
      <c r="D786" s="525">
        <f>ROUND(C786*$C$778+0.5,0)</f>
        <v>11</v>
      </c>
    </row>
    <row r="787" spans="1:4" ht="12.75">
      <c r="A787" s="369" t="s">
        <v>101</v>
      </c>
      <c r="B787" s="7">
        <f>SUM(B783:B786)</f>
        <v>266</v>
      </c>
      <c r="C787" s="97">
        <f>SUM(C783:C786)</f>
        <v>1</v>
      </c>
      <c r="D787" s="85">
        <f>SUM(D783:D786)</f>
        <v>56</v>
      </c>
    </row>
    <row r="790" spans="1:2" ht="12.75">
      <c r="A790" s="13" t="s">
        <v>311</v>
      </c>
      <c r="B790" s="13" t="s">
        <v>312</v>
      </c>
    </row>
    <row r="791" spans="1:6" ht="13.5" thickBot="1">
      <c r="A791" s="338" t="s">
        <v>146</v>
      </c>
      <c r="B791" s="339" t="s">
        <v>33</v>
      </c>
      <c r="C791" s="535" t="s">
        <v>56</v>
      </c>
      <c r="D791" s="338" t="s">
        <v>106</v>
      </c>
      <c r="E791" s="339" t="s">
        <v>300</v>
      </c>
      <c r="F791" s="338" t="s">
        <v>298</v>
      </c>
    </row>
    <row r="792" spans="1:6" ht="13.5" thickTop="1">
      <c r="A792" s="529" t="s">
        <v>138</v>
      </c>
      <c r="B792" s="596">
        <v>50</v>
      </c>
      <c r="C792" s="597">
        <v>2.6950399999999997</v>
      </c>
      <c r="D792" s="597">
        <f>SQRT(E398)</f>
        <v>0.3218463291570048</v>
      </c>
      <c r="E792" s="598">
        <f>(D792/C792)*B792</f>
        <v>5.971086313320114</v>
      </c>
      <c r="F792" s="599">
        <f>ROUND((E792/$E$796)*$D$787+0.5,0)</f>
        <v>18</v>
      </c>
    </row>
    <row r="793" spans="1:6" ht="12.75">
      <c r="A793" s="529" t="s">
        <v>139</v>
      </c>
      <c r="B793" s="32">
        <v>81</v>
      </c>
      <c r="C793" s="531">
        <v>3.26720987654321</v>
      </c>
      <c r="D793" s="531">
        <f>SQRT(E399)</f>
        <v>0.1869018269071576</v>
      </c>
      <c r="E793" s="126">
        <f>(D793/C793)*B793</f>
        <v>4.6336319218945485</v>
      </c>
      <c r="F793" s="532">
        <f>ROUND((E793/$E$796)*$D$787+0.5,0)</f>
        <v>14</v>
      </c>
    </row>
    <row r="794" spans="1:6" ht="12.75">
      <c r="A794" s="529" t="s">
        <v>140</v>
      </c>
      <c r="B794" s="32">
        <v>83</v>
      </c>
      <c r="C794" s="531">
        <v>3.621686746987952</v>
      </c>
      <c r="D794" s="531">
        <f>SQRT(E400)</f>
        <v>0.19597037653878183</v>
      </c>
      <c r="E794" s="126">
        <f>(D794/C794)*B794</f>
        <v>4.491150778362169</v>
      </c>
      <c r="F794" s="532">
        <f>ROUND((E794/$E$796)*$D$787+0.5,0)</f>
        <v>14</v>
      </c>
    </row>
    <row r="795" spans="1:6" ht="13.5" thickBot="1">
      <c r="A795" s="530" t="s">
        <v>141</v>
      </c>
      <c r="B795" s="125">
        <v>52</v>
      </c>
      <c r="C795" s="533">
        <v>4.1771153846153855</v>
      </c>
      <c r="D795" s="533">
        <f>SQRT(E401)</f>
        <v>0.3075906787290756</v>
      </c>
      <c r="E795" s="127">
        <f>(D795/C795)*B795</f>
        <v>3.829129392216842</v>
      </c>
      <c r="F795" s="534">
        <f>ROUND((E795/$E$796)*$D$787+0.5,0)</f>
        <v>12</v>
      </c>
    </row>
    <row r="796" spans="1:6" ht="12.75">
      <c r="A796" s="7"/>
      <c r="B796" s="43"/>
      <c r="C796" s="7"/>
      <c r="D796" s="465" t="s">
        <v>32</v>
      </c>
      <c r="E796" s="101">
        <f>SUM(E792:E795)</f>
        <v>18.924998405793673</v>
      </c>
      <c r="F796" s="120">
        <f>SUM(F792:F795)</f>
        <v>58</v>
      </c>
    </row>
    <row r="800" ht="12.75">
      <c r="A800" s="13" t="s">
        <v>302</v>
      </c>
    </row>
    <row r="802" spans="1:3" ht="12.75">
      <c r="A802" s="1" t="s">
        <v>304</v>
      </c>
      <c r="B802" s="42">
        <v>10</v>
      </c>
      <c r="C802" s="537">
        <f>B802</f>
        <v>10</v>
      </c>
    </row>
    <row r="803" spans="1:3" ht="12.75">
      <c r="A803" s="14" t="s">
        <v>303</v>
      </c>
      <c r="B803" s="15">
        <v>3</v>
      </c>
      <c r="C803" s="4">
        <f>C802*B803</f>
        <v>30</v>
      </c>
    </row>
    <row r="804" spans="1:3" ht="12.75">
      <c r="A804" s="14" t="s">
        <v>305</v>
      </c>
      <c r="B804" s="15">
        <v>4</v>
      </c>
      <c r="C804" s="4">
        <f>C803*B804</f>
        <v>120</v>
      </c>
    </row>
    <row r="805" spans="1:3" ht="12.75">
      <c r="A805" s="14" t="s">
        <v>306</v>
      </c>
      <c r="B805" s="15">
        <v>2</v>
      </c>
      <c r="C805" s="4">
        <f>C804*B805</f>
        <v>240</v>
      </c>
    </row>
    <row r="806" spans="1:3" ht="12.75">
      <c r="A806" s="14" t="s">
        <v>307</v>
      </c>
      <c r="B806" s="15">
        <v>2</v>
      </c>
      <c r="C806" s="4">
        <f>C805*B806</f>
        <v>480</v>
      </c>
    </row>
    <row r="807" spans="1:3" ht="12.75">
      <c r="A807" s="21" t="s">
        <v>308</v>
      </c>
      <c r="B807" s="43">
        <v>2</v>
      </c>
      <c r="C807" s="7">
        <f>C806*B807</f>
        <v>960</v>
      </c>
    </row>
    <row r="811" spans="1:3" ht="13.5" thickBot="1">
      <c r="A811" s="335" t="s">
        <v>292</v>
      </c>
      <c r="B811" s="111"/>
      <c r="C811" s="20"/>
    </row>
    <row r="812" spans="1:3" ht="13.5" thickTop="1">
      <c r="A812" s="371" t="s">
        <v>56</v>
      </c>
      <c r="B812" s="15"/>
      <c r="C812" s="17">
        <f>C774</f>
        <v>3.4481428571428565</v>
      </c>
    </row>
    <row r="813" spans="1:3" ht="12.75">
      <c r="A813" s="371" t="s">
        <v>293</v>
      </c>
      <c r="B813" s="15"/>
      <c r="C813" s="16">
        <f>D712</f>
        <v>0.0628913644775457</v>
      </c>
    </row>
    <row r="814" spans="1:3" ht="12.75">
      <c r="A814" s="371" t="s">
        <v>294</v>
      </c>
      <c r="B814" s="15"/>
      <c r="C814" s="16">
        <f>NORMSINV(0.01/2)</f>
        <v>-2.5758293035489155</v>
      </c>
    </row>
    <row r="815" spans="1:3" ht="12.75">
      <c r="A815" s="371" t="s">
        <v>295</v>
      </c>
      <c r="B815" s="15"/>
      <c r="C815" s="17">
        <f>C812*0.025</f>
        <v>0.08620357142857142</v>
      </c>
    </row>
    <row r="816" spans="1:3" ht="12.75">
      <c r="A816" s="369" t="s">
        <v>296</v>
      </c>
      <c r="B816" s="43"/>
      <c r="C816" s="167">
        <f>ROUND(C814^2*C813/C815^2+0.5,0)</f>
        <v>57</v>
      </c>
    </row>
    <row r="818" spans="5:6" ht="12.75">
      <c r="E818" s="15"/>
      <c r="F818" s="330"/>
    </row>
    <row r="819" spans="5:6" ht="12.75">
      <c r="E819" s="15"/>
      <c r="F819" s="330"/>
    </row>
    <row r="820" spans="1:6" ht="12.75">
      <c r="A820" s="13" t="s">
        <v>321</v>
      </c>
      <c r="E820" s="15"/>
      <c r="F820" s="330"/>
    </row>
    <row r="821" spans="1:11" ht="12.75">
      <c r="A821" s="558" t="s">
        <v>56</v>
      </c>
      <c r="B821" s="42"/>
      <c r="C821" s="567">
        <v>3.4481428571428565</v>
      </c>
      <c r="D821" s="42"/>
      <c r="E821" s="42"/>
      <c r="F821" s="553"/>
      <c r="G821" s="42"/>
      <c r="H821" s="42"/>
      <c r="I821" s="42"/>
      <c r="J821" s="42"/>
      <c r="K821" s="239"/>
    </row>
    <row r="822" spans="1:11" ht="12.75">
      <c r="A822" s="371" t="s">
        <v>147</v>
      </c>
      <c r="B822" s="15"/>
      <c r="C822" s="568">
        <v>0.291</v>
      </c>
      <c r="D822" s="15"/>
      <c r="E822" s="15"/>
      <c r="F822" s="15"/>
      <c r="G822" s="15"/>
      <c r="H822" s="15"/>
      <c r="I822" s="15"/>
      <c r="J822" s="15"/>
      <c r="K822" s="114"/>
    </row>
    <row r="823" spans="1:11" ht="12.75">
      <c r="A823" s="371" t="s">
        <v>281</v>
      </c>
      <c r="B823" s="15"/>
      <c r="C823" s="569">
        <v>4591</v>
      </c>
      <c r="D823" s="15"/>
      <c r="E823" s="15"/>
      <c r="F823" s="15"/>
      <c r="G823" s="15"/>
      <c r="H823" s="15"/>
      <c r="I823" s="15"/>
      <c r="J823" s="15"/>
      <c r="K823" s="114"/>
    </row>
    <row r="824" spans="1:11" ht="12.75">
      <c r="A824" s="14"/>
      <c r="B824" s="670" t="s">
        <v>319</v>
      </c>
      <c r="C824" s="671"/>
      <c r="D824" s="671"/>
      <c r="E824" s="671"/>
      <c r="F824" s="671"/>
      <c r="G824" s="671"/>
      <c r="H824" s="671"/>
      <c r="I824" s="671"/>
      <c r="J824" s="671"/>
      <c r="K824" s="672"/>
    </row>
    <row r="825" spans="1:11" ht="12.75">
      <c r="A825" s="1"/>
      <c r="B825" s="561">
        <v>0.01</v>
      </c>
      <c r="C825" s="562">
        <f>B825+0.01</f>
        <v>0.02</v>
      </c>
      <c r="D825" s="562">
        <f aca="true" t="shared" si="21" ref="D825:K825">C825+0.01</f>
        <v>0.03</v>
      </c>
      <c r="E825" s="562">
        <f t="shared" si="21"/>
        <v>0.04</v>
      </c>
      <c r="F825" s="562">
        <f t="shared" si="21"/>
        <v>0.05</v>
      </c>
      <c r="G825" s="562">
        <f t="shared" si="21"/>
        <v>0.060000000000000005</v>
      </c>
      <c r="H825" s="562">
        <f t="shared" si="21"/>
        <v>0.07</v>
      </c>
      <c r="I825" s="562">
        <f t="shared" si="21"/>
        <v>0.08</v>
      </c>
      <c r="J825" s="562">
        <f t="shared" si="21"/>
        <v>0.09</v>
      </c>
      <c r="K825" s="562">
        <f t="shared" si="21"/>
        <v>0.09999999999999999</v>
      </c>
    </row>
    <row r="826" spans="1:12" ht="13.5" thickBot="1">
      <c r="A826" s="563" t="s">
        <v>318</v>
      </c>
      <c r="B826" s="564">
        <f>NORMSINV(B825/2)</f>
        <v>-2.5758293035489155</v>
      </c>
      <c r="C826" s="565">
        <f aca="true" t="shared" si="22" ref="C826:J826">NORMSINV(C825/2)</f>
        <v>-2.3263478740408488</v>
      </c>
      <c r="D826" s="564">
        <f t="shared" si="22"/>
        <v>-2.1700903775845566</v>
      </c>
      <c r="E826" s="565">
        <f t="shared" si="22"/>
        <v>-2.053748910631824</v>
      </c>
      <c r="F826" s="564">
        <f t="shared" si="22"/>
        <v>-1.9599639845400545</v>
      </c>
      <c r="G826" s="565">
        <f t="shared" si="22"/>
        <v>-1.880793608151254</v>
      </c>
      <c r="H826" s="565">
        <f t="shared" si="22"/>
        <v>-1.8119106729525982</v>
      </c>
      <c r="I826" s="564">
        <f t="shared" si="22"/>
        <v>-1.7506860712521712</v>
      </c>
      <c r="J826" s="565">
        <f t="shared" si="22"/>
        <v>-1.6953977102721378</v>
      </c>
      <c r="K826" s="564">
        <f>NORMSINV(K825/2)</f>
        <v>-1.6448536269514742</v>
      </c>
      <c r="L826" s="77"/>
    </row>
    <row r="827" spans="1:11" ht="13.5" thickTop="1">
      <c r="A827" s="554">
        <v>0.005</v>
      </c>
      <c r="B827" s="559">
        <f aca="true" t="shared" si="23" ref="B827:B846">ROUND(IF($C$823&gt;0,(($C$822*B$826^2)/($A827*$C$821)^2)/(1+(($C$822*B$826^2)/($A827*$C$821)^2)/$C$823),($C$822*B$826^2)/($A827*$C$821)^2)+0.5,0)</f>
        <v>2690</v>
      </c>
      <c r="C827" s="555">
        <f aca="true" t="shared" si="24" ref="C827:K842">ROUND(IF($C$823&gt;0,(($C$822*C$826^2)/($A827*$C$821)^2)/(1+(($C$822*C$826^2)/($A827*$C$821)^2)/$C$823),($C$822*C$826^2)/($A827*$C$821)^2)+0.5,0)</f>
        <v>2460</v>
      </c>
      <c r="D827" s="559">
        <f t="shared" si="24"/>
        <v>2301</v>
      </c>
      <c r="E827" s="555">
        <f t="shared" si="24"/>
        <v>2174</v>
      </c>
      <c r="F827" s="559">
        <f t="shared" si="24"/>
        <v>2068</v>
      </c>
      <c r="G827" s="555">
        <f t="shared" si="24"/>
        <v>1975</v>
      </c>
      <c r="H827" s="555">
        <f t="shared" si="24"/>
        <v>1891</v>
      </c>
      <c r="I827" s="559">
        <f t="shared" si="24"/>
        <v>1815</v>
      </c>
      <c r="J827" s="555">
        <f t="shared" si="24"/>
        <v>1745</v>
      </c>
      <c r="K827" s="559">
        <f t="shared" si="24"/>
        <v>1680</v>
      </c>
    </row>
    <row r="828" spans="1:11" ht="12.75">
      <c r="A828" s="554">
        <f>A827+0.005</f>
        <v>0.01</v>
      </c>
      <c r="B828" s="559">
        <f t="shared" si="23"/>
        <v>1200</v>
      </c>
      <c r="C828" s="555">
        <f t="shared" si="24"/>
        <v>1028</v>
      </c>
      <c r="D828" s="559">
        <f t="shared" si="24"/>
        <v>922</v>
      </c>
      <c r="E828" s="555">
        <f t="shared" si="24"/>
        <v>843</v>
      </c>
      <c r="F828" s="559">
        <f t="shared" si="24"/>
        <v>781</v>
      </c>
      <c r="G828" s="555">
        <f t="shared" si="24"/>
        <v>729</v>
      </c>
      <c r="H828" s="555">
        <f t="shared" si="24"/>
        <v>684</v>
      </c>
      <c r="I828" s="559">
        <f t="shared" si="24"/>
        <v>645</v>
      </c>
      <c r="J828" s="555">
        <f t="shared" si="24"/>
        <v>611</v>
      </c>
      <c r="K828" s="559">
        <f t="shared" si="24"/>
        <v>579</v>
      </c>
    </row>
    <row r="829" spans="1:11" ht="12.75">
      <c r="A829" s="554">
        <f aca="true" t="shared" si="25" ref="A829:A846">A828+0.005</f>
        <v>0.015</v>
      </c>
      <c r="B829" s="559">
        <f t="shared" si="23"/>
        <v>624</v>
      </c>
      <c r="C829" s="555">
        <f t="shared" si="24"/>
        <v>522</v>
      </c>
      <c r="D829" s="559">
        <f t="shared" si="24"/>
        <v>461</v>
      </c>
      <c r="E829" s="555">
        <f t="shared" si="24"/>
        <v>418</v>
      </c>
      <c r="F829" s="559">
        <f t="shared" si="24"/>
        <v>384</v>
      </c>
      <c r="G829" s="555">
        <f t="shared" si="24"/>
        <v>356</v>
      </c>
      <c r="H829" s="555">
        <f t="shared" si="24"/>
        <v>332</v>
      </c>
      <c r="I829" s="559">
        <f t="shared" si="24"/>
        <v>311</v>
      </c>
      <c r="J829" s="555">
        <f t="shared" si="24"/>
        <v>293</v>
      </c>
      <c r="K829" s="559">
        <f t="shared" si="24"/>
        <v>277</v>
      </c>
    </row>
    <row r="830" spans="1:11" ht="12.75">
      <c r="A830" s="554">
        <f t="shared" si="25"/>
        <v>0.02</v>
      </c>
      <c r="B830" s="559">
        <f t="shared" si="23"/>
        <v>373</v>
      </c>
      <c r="C830" s="555">
        <f t="shared" si="24"/>
        <v>309</v>
      </c>
      <c r="D830" s="559">
        <f t="shared" si="24"/>
        <v>272</v>
      </c>
      <c r="E830" s="555">
        <f t="shared" si="24"/>
        <v>245</v>
      </c>
      <c r="F830" s="559">
        <f t="shared" si="24"/>
        <v>224</v>
      </c>
      <c r="G830" s="555">
        <f t="shared" si="24"/>
        <v>207</v>
      </c>
      <c r="H830" s="555">
        <f t="shared" si="24"/>
        <v>193</v>
      </c>
      <c r="I830" s="559">
        <f t="shared" si="24"/>
        <v>181</v>
      </c>
      <c r="J830" s="555">
        <f t="shared" si="24"/>
        <v>170</v>
      </c>
      <c r="K830" s="559">
        <f t="shared" si="24"/>
        <v>160</v>
      </c>
    </row>
    <row r="831" spans="1:11" ht="12.75">
      <c r="A831" s="554">
        <f t="shared" si="25"/>
        <v>0.025</v>
      </c>
      <c r="B831" s="559">
        <f t="shared" si="23"/>
        <v>246</v>
      </c>
      <c r="C831" s="555">
        <f t="shared" si="24"/>
        <v>203</v>
      </c>
      <c r="D831" s="559">
        <f t="shared" si="24"/>
        <v>178</v>
      </c>
      <c r="E831" s="555">
        <f t="shared" si="24"/>
        <v>160</v>
      </c>
      <c r="F831" s="559">
        <f t="shared" si="24"/>
        <v>146</v>
      </c>
      <c r="G831" s="555">
        <f t="shared" si="24"/>
        <v>135</v>
      </c>
      <c r="H831" s="555">
        <f t="shared" si="24"/>
        <v>126</v>
      </c>
      <c r="I831" s="559">
        <f t="shared" si="24"/>
        <v>117</v>
      </c>
      <c r="J831" s="555">
        <f t="shared" si="24"/>
        <v>110</v>
      </c>
      <c r="K831" s="559">
        <f t="shared" si="24"/>
        <v>104</v>
      </c>
    </row>
    <row r="832" spans="1:11" ht="12.75">
      <c r="A832" s="554">
        <f t="shared" si="25"/>
        <v>0.030000000000000002</v>
      </c>
      <c r="B832" s="559">
        <f t="shared" si="23"/>
        <v>174</v>
      </c>
      <c r="C832" s="555">
        <f t="shared" si="24"/>
        <v>143</v>
      </c>
      <c r="D832" s="559">
        <f t="shared" si="24"/>
        <v>125</v>
      </c>
      <c r="E832" s="555">
        <f t="shared" si="24"/>
        <v>112</v>
      </c>
      <c r="F832" s="559">
        <f t="shared" si="24"/>
        <v>103</v>
      </c>
      <c r="G832" s="555">
        <f t="shared" si="24"/>
        <v>95</v>
      </c>
      <c r="H832" s="555">
        <f t="shared" si="24"/>
        <v>88</v>
      </c>
      <c r="I832" s="559">
        <f t="shared" si="24"/>
        <v>82</v>
      </c>
      <c r="J832" s="555">
        <f t="shared" si="24"/>
        <v>77</v>
      </c>
      <c r="K832" s="559">
        <f t="shared" si="24"/>
        <v>73</v>
      </c>
    </row>
    <row r="833" spans="1:11" ht="12.75">
      <c r="A833" s="554">
        <f t="shared" si="25"/>
        <v>0.035</v>
      </c>
      <c r="B833" s="559">
        <f t="shared" si="23"/>
        <v>129</v>
      </c>
      <c r="C833" s="555">
        <f t="shared" si="24"/>
        <v>106</v>
      </c>
      <c r="D833" s="559">
        <f t="shared" si="24"/>
        <v>93</v>
      </c>
      <c r="E833" s="555">
        <f t="shared" si="24"/>
        <v>83</v>
      </c>
      <c r="F833" s="559">
        <f t="shared" si="24"/>
        <v>76</v>
      </c>
      <c r="G833" s="555">
        <f t="shared" si="24"/>
        <v>70</v>
      </c>
      <c r="H833" s="555">
        <f t="shared" si="24"/>
        <v>65</v>
      </c>
      <c r="I833" s="559">
        <f t="shared" si="24"/>
        <v>61</v>
      </c>
      <c r="J833" s="555">
        <f t="shared" si="24"/>
        <v>57</v>
      </c>
      <c r="K833" s="559">
        <f t="shared" si="24"/>
        <v>54</v>
      </c>
    </row>
    <row r="834" spans="1:11" ht="12.75">
      <c r="A834" s="554">
        <f t="shared" si="25"/>
        <v>0.04</v>
      </c>
      <c r="B834" s="559">
        <f t="shared" si="23"/>
        <v>100</v>
      </c>
      <c r="C834" s="555">
        <f t="shared" si="24"/>
        <v>82</v>
      </c>
      <c r="D834" s="559">
        <f t="shared" si="24"/>
        <v>71</v>
      </c>
      <c r="E834" s="555">
        <f t="shared" si="24"/>
        <v>64</v>
      </c>
      <c r="F834" s="559">
        <f t="shared" si="24"/>
        <v>59</v>
      </c>
      <c r="G834" s="555">
        <f t="shared" si="24"/>
        <v>54</v>
      </c>
      <c r="H834" s="555">
        <f t="shared" si="24"/>
        <v>50</v>
      </c>
      <c r="I834" s="559">
        <f t="shared" si="24"/>
        <v>47</v>
      </c>
      <c r="J834" s="555">
        <f t="shared" si="24"/>
        <v>44</v>
      </c>
      <c r="K834" s="559">
        <f t="shared" si="24"/>
        <v>42</v>
      </c>
    </row>
    <row r="835" spans="1:11" ht="12.75">
      <c r="A835" s="554">
        <f t="shared" si="25"/>
        <v>0.045</v>
      </c>
      <c r="B835" s="559">
        <f t="shared" si="23"/>
        <v>79</v>
      </c>
      <c r="C835" s="555">
        <f t="shared" si="24"/>
        <v>65</v>
      </c>
      <c r="D835" s="559">
        <f t="shared" si="24"/>
        <v>57</v>
      </c>
      <c r="E835" s="555">
        <f t="shared" si="24"/>
        <v>51</v>
      </c>
      <c r="F835" s="559">
        <f t="shared" si="24"/>
        <v>46</v>
      </c>
      <c r="G835" s="555">
        <f t="shared" si="24"/>
        <v>43</v>
      </c>
      <c r="H835" s="555">
        <f t="shared" si="24"/>
        <v>40</v>
      </c>
      <c r="I835" s="559">
        <f t="shared" si="24"/>
        <v>37</v>
      </c>
      <c r="J835" s="555">
        <f t="shared" si="24"/>
        <v>35</v>
      </c>
      <c r="K835" s="559">
        <f t="shared" si="24"/>
        <v>33</v>
      </c>
    </row>
    <row r="836" spans="1:11" ht="12.75">
      <c r="A836" s="554">
        <f t="shared" si="25"/>
        <v>0.049999999999999996</v>
      </c>
      <c r="B836" s="559">
        <f t="shared" si="23"/>
        <v>65</v>
      </c>
      <c r="C836" s="555">
        <f t="shared" si="24"/>
        <v>53</v>
      </c>
      <c r="D836" s="559">
        <f t="shared" si="24"/>
        <v>46</v>
      </c>
      <c r="E836" s="555">
        <f t="shared" si="24"/>
        <v>41</v>
      </c>
      <c r="F836" s="571">
        <f t="shared" si="24"/>
        <v>38</v>
      </c>
      <c r="G836" s="555">
        <f t="shared" si="24"/>
        <v>35</v>
      </c>
      <c r="H836" s="555">
        <f t="shared" si="24"/>
        <v>32</v>
      </c>
      <c r="I836" s="559">
        <f t="shared" si="24"/>
        <v>30</v>
      </c>
      <c r="J836" s="555">
        <f t="shared" si="24"/>
        <v>28</v>
      </c>
      <c r="K836" s="559">
        <f t="shared" si="24"/>
        <v>27</v>
      </c>
    </row>
    <row r="837" spans="1:11" ht="12.75">
      <c r="A837" s="554">
        <f t="shared" si="25"/>
        <v>0.05499999999999999</v>
      </c>
      <c r="B837" s="559">
        <f t="shared" si="23"/>
        <v>54</v>
      </c>
      <c r="C837" s="555">
        <f t="shared" si="24"/>
        <v>44</v>
      </c>
      <c r="D837" s="559">
        <f t="shared" si="24"/>
        <v>38</v>
      </c>
      <c r="E837" s="555">
        <f t="shared" si="24"/>
        <v>34</v>
      </c>
      <c r="F837" s="559">
        <f t="shared" si="24"/>
        <v>31</v>
      </c>
      <c r="G837" s="555">
        <f t="shared" si="24"/>
        <v>29</v>
      </c>
      <c r="H837" s="555">
        <f t="shared" si="24"/>
        <v>27</v>
      </c>
      <c r="I837" s="559">
        <f t="shared" si="24"/>
        <v>25</v>
      </c>
      <c r="J837" s="555">
        <f t="shared" si="24"/>
        <v>24</v>
      </c>
      <c r="K837" s="559">
        <f t="shared" si="24"/>
        <v>22</v>
      </c>
    </row>
    <row r="838" spans="1:11" ht="12.75">
      <c r="A838" s="554">
        <f t="shared" si="25"/>
        <v>0.05999999999999999</v>
      </c>
      <c r="B838" s="559">
        <f t="shared" si="23"/>
        <v>45</v>
      </c>
      <c r="C838" s="555">
        <f t="shared" si="24"/>
        <v>37</v>
      </c>
      <c r="D838" s="559">
        <f t="shared" si="24"/>
        <v>32</v>
      </c>
      <c r="E838" s="555">
        <f t="shared" si="24"/>
        <v>29</v>
      </c>
      <c r="F838" s="559">
        <f t="shared" si="24"/>
        <v>26</v>
      </c>
      <c r="G838" s="555">
        <f t="shared" si="24"/>
        <v>24</v>
      </c>
      <c r="H838" s="555">
        <f t="shared" si="24"/>
        <v>23</v>
      </c>
      <c r="I838" s="559">
        <f t="shared" si="24"/>
        <v>21</v>
      </c>
      <c r="J838" s="555">
        <f t="shared" si="24"/>
        <v>20</v>
      </c>
      <c r="K838" s="559">
        <f t="shared" si="24"/>
        <v>19</v>
      </c>
    </row>
    <row r="839" spans="1:11" ht="12.75">
      <c r="A839" s="554">
        <f t="shared" si="25"/>
        <v>0.06499999999999999</v>
      </c>
      <c r="B839" s="559">
        <f t="shared" si="23"/>
        <v>39</v>
      </c>
      <c r="C839" s="555">
        <f t="shared" si="24"/>
        <v>32</v>
      </c>
      <c r="D839" s="559">
        <f t="shared" si="24"/>
        <v>28</v>
      </c>
      <c r="E839" s="555">
        <f t="shared" si="24"/>
        <v>25</v>
      </c>
      <c r="F839" s="559">
        <f t="shared" si="24"/>
        <v>23</v>
      </c>
      <c r="G839" s="555">
        <f t="shared" si="24"/>
        <v>21</v>
      </c>
      <c r="H839" s="555">
        <f t="shared" si="24"/>
        <v>19</v>
      </c>
      <c r="I839" s="559">
        <f t="shared" si="24"/>
        <v>18</v>
      </c>
      <c r="J839" s="555">
        <f t="shared" si="24"/>
        <v>17</v>
      </c>
      <c r="K839" s="559">
        <f t="shared" si="24"/>
        <v>16</v>
      </c>
    </row>
    <row r="840" spans="1:11" ht="12.75">
      <c r="A840" s="554">
        <f t="shared" si="25"/>
        <v>0.06999999999999999</v>
      </c>
      <c r="B840" s="559">
        <f t="shared" si="23"/>
        <v>33</v>
      </c>
      <c r="C840" s="555">
        <f t="shared" si="24"/>
        <v>27</v>
      </c>
      <c r="D840" s="559">
        <f t="shared" si="24"/>
        <v>24</v>
      </c>
      <c r="E840" s="555">
        <f t="shared" si="24"/>
        <v>21</v>
      </c>
      <c r="F840" s="559">
        <f t="shared" si="24"/>
        <v>20</v>
      </c>
      <c r="G840" s="555">
        <f t="shared" si="24"/>
        <v>18</v>
      </c>
      <c r="H840" s="555">
        <f t="shared" si="24"/>
        <v>17</v>
      </c>
      <c r="I840" s="559">
        <f t="shared" si="24"/>
        <v>16</v>
      </c>
      <c r="J840" s="555">
        <f t="shared" si="24"/>
        <v>15</v>
      </c>
      <c r="K840" s="559">
        <f t="shared" si="24"/>
        <v>14</v>
      </c>
    </row>
    <row r="841" spans="1:11" ht="12.75">
      <c r="A841" s="554">
        <f t="shared" si="25"/>
        <v>0.075</v>
      </c>
      <c r="B841" s="559">
        <f t="shared" si="23"/>
        <v>29</v>
      </c>
      <c r="C841" s="555">
        <f t="shared" si="24"/>
        <v>24</v>
      </c>
      <c r="D841" s="559">
        <f t="shared" si="24"/>
        <v>21</v>
      </c>
      <c r="E841" s="555">
        <f t="shared" si="24"/>
        <v>19</v>
      </c>
      <c r="F841" s="559">
        <f t="shared" si="24"/>
        <v>17</v>
      </c>
      <c r="G841" s="555">
        <f t="shared" si="24"/>
        <v>16</v>
      </c>
      <c r="H841" s="555">
        <f t="shared" si="24"/>
        <v>15</v>
      </c>
      <c r="I841" s="559">
        <f t="shared" si="24"/>
        <v>14</v>
      </c>
      <c r="J841" s="555">
        <f t="shared" si="24"/>
        <v>13</v>
      </c>
      <c r="K841" s="559">
        <f t="shared" si="24"/>
        <v>12</v>
      </c>
    </row>
    <row r="842" spans="1:11" ht="12.75">
      <c r="A842" s="554">
        <f t="shared" si="25"/>
        <v>0.08</v>
      </c>
      <c r="B842" s="559">
        <f t="shared" si="23"/>
        <v>26</v>
      </c>
      <c r="C842" s="555">
        <f t="shared" si="24"/>
        <v>21</v>
      </c>
      <c r="D842" s="559">
        <f t="shared" si="24"/>
        <v>18</v>
      </c>
      <c r="E842" s="555">
        <f t="shared" si="24"/>
        <v>17</v>
      </c>
      <c r="F842" s="559">
        <f t="shared" si="24"/>
        <v>15</v>
      </c>
      <c r="G842" s="555">
        <f t="shared" si="24"/>
        <v>14</v>
      </c>
      <c r="H842" s="555">
        <f t="shared" si="24"/>
        <v>13</v>
      </c>
      <c r="I842" s="559">
        <f t="shared" si="24"/>
        <v>12</v>
      </c>
      <c r="J842" s="555">
        <f t="shared" si="24"/>
        <v>11</v>
      </c>
      <c r="K842" s="559">
        <f t="shared" si="24"/>
        <v>11</v>
      </c>
    </row>
    <row r="843" spans="1:12" ht="12.75">
      <c r="A843" s="554">
        <f t="shared" si="25"/>
        <v>0.085</v>
      </c>
      <c r="B843" s="559">
        <f t="shared" si="23"/>
        <v>23</v>
      </c>
      <c r="C843" s="555">
        <f aca="true" t="shared" si="26" ref="C843:K846">ROUND(IF($C$823&gt;0,(($C$822*C$826^2)/($A843*$C$821)^2)/(1+(($C$822*C$826^2)/($A843*$C$821)^2)/$C$823),($C$822*C$826^2)/($A843*$C$821)^2)+0.5,0)</f>
        <v>19</v>
      </c>
      <c r="D843" s="559">
        <f t="shared" si="26"/>
        <v>16</v>
      </c>
      <c r="E843" s="555">
        <f t="shared" si="26"/>
        <v>15</v>
      </c>
      <c r="F843" s="559">
        <f t="shared" si="26"/>
        <v>13</v>
      </c>
      <c r="G843" s="555">
        <f t="shared" si="26"/>
        <v>12</v>
      </c>
      <c r="H843" s="555">
        <f t="shared" si="26"/>
        <v>12</v>
      </c>
      <c r="I843" s="559">
        <f t="shared" si="26"/>
        <v>11</v>
      </c>
      <c r="J843" s="555">
        <f t="shared" si="26"/>
        <v>10</v>
      </c>
      <c r="K843" s="559">
        <f t="shared" si="26"/>
        <v>10</v>
      </c>
      <c r="L843" s="570"/>
    </row>
    <row r="844" spans="1:11" ht="12.75">
      <c r="A844" s="554">
        <f t="shared" si="25"/>
        <v>0.09000000000000001</v>
      </c>
      <c r="B844" s="559">
        <f t="shared" si="23"/>
        <v>20</v>
      </c>
      <c r="C844" s="555">
        <f t="shared" si="26"/>
        <v>17</v>
      </c>
      <c r="D844" s="559">
        <f t="shared" si="26"/>
        <v>15</v>
      </c>
      <c r="E844" s="555">
        <f t="shared" si="26"/>
        <v>13</v>
      </c>
      <c r="F844" s="559">
        <f t="shared" si="26"/>
        <v>12</v>
      </c>
      <c r="G844" s="555">
        <f t="shared" si="26"/>
        <v>11</v>
      </c>
      <c r="H844" s="555">
        <f t="shared" si="26"/>
        <v>10</v>
      </c>
      <c r="I844" s="559">
        <f t="shared" si="26"/>
        <v>10</v>
      </c>
      <c r="J844" s="555">
        <f t="shared" si="26"/>
        <v>9</v>
      </c>
      <c r="K844" s="559">
        <f t="shared" si="26"/>
        <v>9</v>
      </c>
    </row>
    <row r="845" spans="1:11" ht="12.75">
      <c r="A845" s="554">
        <f t="shared" si="25"/>
        <v>0.09500000000000001</v>
      </c>
      <c r="B845" s="559">
        <f t="shared" si="23"/>
        <v>18</v>
      </c>
      <c r="C845" s="555">
        <f t="shared" si="26"/>
        <v>15</v>
      </c>
      <c r="D845" s="559">
        <f t="shared" si="26"/>
        <v>13</v>
      </c>
      <c r="E845" s="555">
        <f t="shared" si="26"/>
        <v>12</v>
      </c>
      <c r="F845" s="559">
        <f t="shared" si="26"/>
        <v>11</v>
      </c>
      <c r="G845" s="555">
        <f t="shared" si="26"/>
        <v>10</v>
      </c>
      <c r="H845" s="555">
        <f t="shared" si="26"/>
        <v>9</v>
      </c>
      <c r="I845" s="559">
        <f t="shared" si="26"/>
        <v>9</v>
      </c>
      <c r="J845" s="555">
        <f t="shared" si="26"/>
        <v>8</v>
      </c>
      <c r="K845" s="559">
        <f t="shared" si="26"/>
        <v>8</v>
      </c>
    </row>
    <row r="846" spans="1:11" ht="12.75">
      <c r="A846" s="556">
        <f t="shared" si="25"/>
        <v>0.10000000000000002</v>
      </c>
      <c r="B846" s="560">
        <f t="shared" si="23"/>
        <v>17</v>
      </c>
      <c r="C846" s="557">
        <f t="shared" si="26"/>
        <v>14</v>
      </c>
      <c r="D846" s="560">
        <f t="shared" si="26"/>
        <v>12</v>
      </c>
      <c r="E846" s="557">
        <f t="shared" si="26"/>
        <v>11</v>
      </c>
      <c r="F846" s="560">
        <f t="shared" si="26"/>
        <v>10</v>
      </c>
      <c r="G846" s="557">
        <f t="shared" si="26"/>
        <v>9</v>
      </c>
      <c r="H846" s="557">
        <f t="shared" si="26"/>
        <v>9</v>
      </c>
      <c r="I846" s="560">
        <f t="shared" si="26"/>
        <v>8</v>
      </c>
      <c r="J846" s="557">
        <f t="shared" si="26"/>
        <v>8</v>
      </c>
      <c r="K846" s="560">
        <f t="shared" si="26"/>
        <v>7</v>
      </c>
    </row>
    <row r="848" spans="8:13" ht="12.75">
      <c r="H848" s="570"/>
      <c r="L848" s="77"/>
      <c r="M848" s="77"/>
    </row>
    <row r="849" ht="12.75">
      <c r="A849" s="13" t="s">
        <v>322</v>
      </c>
    </row>
    <row r="850" spans="1:11" ht="12.75">
      <c r="A850" s="558" t="s">
        <v>320</v>
      </c>
      <c r="B850" s="42"/>
      <c r="C850" s="567">
        <v>0.5</v>
      </c>
      <c r="D850" s="566"/>
      <c r="E850" s="42"/>
      <c r="F850" s="553"/>
      <c r="G850" s="42"/>
      <c r="H850" s="42"/>
      <c r="I850" s="42"/>
      <c r="J850" s="42"/>
      <c r="K850" s="239"/>
    </row>
    <row r="851" spans="1:11" ht="12.75">
      <c r="A851" s="371" t="s">
        <v>281</v>
      </c>
      <c r="B851" s="15"/>
      <c r="C851" s="569">
        <v>4591</v>
      </c>
      <c r="D851" s="15"/>
      <c r="E851" s="15"/>
      <c r="F851" s="15"/>
      <c r="G851" s="15"/>
      <c r="H851" s="15"/>
      <c r="I851" s="15"/>
      <c r="J851" s="15"/>
      <c r="K851" s="114"/>
    </row>
    <row r="852" spans="1:11" ht="12.75">
      <c r="A852" s="14"/>
      <c r="B852" s="670" t="s">
        <v>319</v>
      </c>
      <c r="C852" s="671"/>
      <c r="D852" s="671"/>
      <c r="E852" s="671"/>
      <c r="F852" s="671"/>
      <c r="G852" s="671"/>
      <c r="H852" s="671"/>
      <c r="I852" s="671"/>
      <c r="J852" s="671"/>
      <c r="K852" s="672"/>
    </row>
    <row r="853" spans="1:11" ht="12.75">
      <c r="A853" s="1"/>
      <c r="B853" s="561">
        <v>0.01</v>
      </c>
      <c r="C853" s="562">
        <f>B853+0.01</f>
        <v>0.02</v>
      </c>
      <c r="D853" s="562">
        <f aca="true" t="shared" si="27" ref="D853:J853">C853+0.01</f>
        <v>0.03</v>
      </c>
      <c r="E853" s="562">
        <f t="shared" si="27"/>
        <v>0.04</v>
      </c>
      <c r="F853" s="562">
        <f t="shared" si="27"/>
        <v>0.05</v>
      </c>
      <c r="G853" s="562">
        <f t="shared" si="27"/>
        <v>0.060000000000000005</v>
      </c>
      <c r="H853" s="562">
        <f t="shared" si="27"/>
        <v>0.07</v>
      </c>
      <c r="I853" s="562">
        <f t="shared" si="27"/>
        <v>0.08</v>
      </c>
      <c r="J853" s="562">
        <f t="shared" si="27"/>
        <v>0.09</v>
      </c>
      <c r="K853" s="562">
        <f>J853+0.01</f>
        <v>0.09999999999999999</v>
      </c>
    </row>
    <row r="854" spans="1:11" ht="13.5" thickBot="1">
      <c r="A854" s="563" t="s">
        <v>318</v>
      </c>
      <c r="B854" s="564">
        <f aca="true" t="shared" si="28" ref="B854:K854">NORMSINV(B853/2)</f>
        <v>-2.5758293035489155</v>
      </c>
      <c r="C854" s="565">
        <f t="shared" si="28"/>
        <v>-2.3263478740408488</v>
      </c>
      <c r="D854" s="564">
        <f t="shared" si="28"/>
        <v>-2.1700903775845566</v>
      </c>
      <c r="E854" s="565">
        <f t="shared" si="28"/>
        <v>-2.053748910631824</v>
      </c>
      <c r="F854" s="564">
        <f t="shared" si="28"/>
        <v>-1.9599639845400545</v>
      </c>
      <c r="G854" s="565">
        <f t="shared" si="28"/>
        <v>-1.880793608151254</v>
      </c>
      <c r="H854" s="565">
        <f t="shared" si="28"/>
        <v>-1.8119106729525982</v>
      </c>
      <c r="I854" s="564">
        <f t="shared" si="28"/>
        <v>-1.7506860712521712</v>
      </c>
      <c r="J854" s="565">
        <f t="shared" si="28"/>
        <v>-1.6953977102721378</v>
      </c>
      <c r="K854" s="564">
        <f t="shared" si="28"/>
        <v>-1.6448536269514742</v>
      </c>
    </row>
    <row r="855" spans="1:11" ht="13.5" thickTop="1">
      <c r="A855" s="554">
        <v>0.005</v>
      </c>
      <c r="B855" s="559">
        <f aca="true" t="shared" si="29" ref="B855:B871">ROUND(IF($C$851&gt;0,((B$854^2*$C$850*(1-$C$850))/($A855*$C$850)^2)/(1+((B$854^2*$C$850*(1-$C$850))/($A855*$C$850)^2)/$C$851),((B$854^2*$C$850*(1-$C$850))/($A855*$C$850)^2))+0.5,0)</f>
        <v>4513</v>
      </c>
      <c r="C855" s="559">
        <f aca="true" t="shared" si="30" ref="C855:K870">ROUND(IF($C$851&gt;0,((C$854^2*$C$850*(1-$C$850))/($A855*$C$850)^2)/(1+((C$854^2*$C$850*(1-$C$850))/($A855*$C$850)^2)/$C$851),((C$854^2*$C$850*(1-$C$850))/($A855*$C$850)^2))+0.5,0)</f>
        <v>4496</v>
      </c>
      <c r="D855" s="559">
        <f t="shared" si="30"/>
        <v>4482</v>
      </c>
      <c r="E855" s="559">
        <f t="shared" si="30"/>
        <v>4470</v>
      </c>
      <c r="F855" s="559">
        <f t="shared" si="30"/>
        <v>4458</v>
      </c>
      <c r="G855" s="559">
        <f t="shared" si="30"/>
        <v>4447</v>
      </c>
      <c r="H855" s="559">
        <f t="shared" si="30"/>
        <v>4436</v>
      </c>
      <c r="I855" s="559">
        <f t="shared" si="30"/>
        <v>4426</v>
      </c>
      <c r="J855" s="559">
        <f t="shared" si="30"/>
        <v>4415</v>
      </c>
      <c r="K855" s="559">
        <f t="shared" si="30"/>
        <v>4405</v>
      </c>
    </row>
    <row r="856" spans="1:11" ht="12.75">
      <c r="A856" s="554">
        <f>A855+0.005</f>
        <v>0.01</v>
      </c>
      <c r="B856" s="559">
        <f t="shared" si="29"/>
        <v>4294</v>
      </c>
      <c r="C856" s="559">
        <f t="shared" si="30"/>
        <v>4232</v>
      </c>
      <c r="D856" s="559">
        <f t="shared" si="30"/>
        <v>4184</v>
      </c>
      <c r="E856" s="559">
        <f t="shared" si="30"/>
        <v>4141</v>
      </c>
      <c r="F856" s="559">
        <f t="shared" si="30"/>
        <v>4101</v>
      </c>
      <c r="G856" s="559">
        <f t="shared" si="30"/>
        <v>4064</v>
      </c>
      <c r="H856" s="559">
        <f t="shared" si="30"/>
        <v>4028</v>
      </c>
      <c r="I856" s="559">
        <f t="shared" si="30"/>
        <v>3993</v>
      </c>
      <c r="J856" s="559">
        <f t="shared" si="30"/>
        <v>3959</v>
      </c>
      <c r="K856" s="559">
        <f t="shared" si="30"/>
        <v>3925</v>
      </c>
    </row>
    <row r="857" spans="1:11" ht="12.75">
      <c r="A857" s="554">
        <f aca="true" t="shared" si="31" ref="A857:A874">A856+0.005</f>
        <v>0.015</v>
      </c>
      <c r="B857" s="559">
        <f t="shared" si="29"/>
        <v>3973</v>
      </c>
      <c r="C857" s="559">
        <f t="shared" si="30"/>
        <v>3856</v>
      </c>
      <c r="D857" s="559">
        <f t="shared" si="30"/>
        <v>3766</v>
      </c>
      <c r="E857" s="559">
        <f t="shared" si="30"/>
        <v>3688</v>
      </c>
      <c r="F857" s="559">
        <f t="shared" si="30"/>
        <v>3619</v>
      </c>
      <c r="G857" s="559">
        <f t="shared" si="30"/>
        <v>3554</v>
      </c>
      <c r="H857" s="559">
        <f t="shared" si="30"/>
        <v>3493</v>
      </c>
      <c r="I857" s="559">
        <f t="shared" si="30"/>
        <v>3434</v>
      </c>
      <c r="J857" s="559">
        <f t="shared" si="30"/>
        <v>3378</v>
      </c>
      <c r="K857" s="559">
        <f t="shared" si="30"/>
        <v>3323</v>
      </c>
    </row>
    <row r="858" spans="1:11" ht="12.75">
      <c r="A858" s="554">
        <f t="shared" si="31"/>
        <v>0.02</v>
      </c>
      <c r="B858" s="559">
        <f t="shared" si="29"/>
        <v>3596</v>
      </c>
      <c r="C858" s="559">
        <f t="shared" si="30"/>
        <v>3428</v>
      </c>
      <c r="D858" s="559">
        <f t="shared" si="30"/>
        <v>3303</v>
      </c>
      <c r="E858" s="559">
        <f t="shared" si="30"/>
        <v>3199</v>
      </c>
      <c r="F858" s="559">
        <f t="shared" si="30"/>
        <v>3107</v>
      </c>
      <c r="G858" s="559">
        <f t="shared" si="30"/>
        <v>3023</v>
      </c>
      <c r="H858" s="559">
        <f t="shared" si="30"/>
        <v>2945</v>
      </c>
      <c r="I858" s="559">
        <f t="shared" si="30"/>
        <v>2871</v>
      </c>
      <c r="J858" s="559">
        <f t="shared" si="30"/>
        <v>2802</v>
      </c>
      <c r="K858" s="559">
        <f t="shared" si="30"/>
        <v>2735</v>
      </c>
    </row>
    <row r="859" spans="1:11" ht="12.75">
      <c r="A859" s="554">
        <f t="shared" si="31"/>
        <v>0.025</v>
      </c>
      <c r="B859" s="559">
        <f t="shared" si="29"/>
        <v>3205</v>
      </c>
      <c r="C859" s="559">
        <f t="shared" si="30"/>
        <v>3001</v>
      </c>
      <c r="D859" s="559">
        <f t="shared" si="30"/>
        <v>2853</v>
      </c>
      <c r="E859" s="559">
        <f t="shared" si="30"/>
        <v>2733</v>
      </c>
      <c r="F859" s="559">
        <f t="shared" si="30"/>
        <v>2629</v>
      </c>
      <c r="G859" s="559">
        <f t="shared" si="30"/>
        <v>2535</v>
      </c>
      <c r="H859" s="559">
        <f t="shared" si="30"/>
        <v>2450</v>
      </c>
      <c r="I859" s="559">
        <f t="shared" si="30"/>
        <v>2372</v>
      </c>
      <c r="J859" s="559">
        <f t="shared" si="30"/>
        <v>2298</v>
      </c>
      <c r="K859" s="559">
        <f t="shared" si="30"/>
        <v>2229</v>
      </c>
    </row>
    <row r="860" spans="1:11" ht="12.75">
      <c r="A860" s="554">
        <f t="shared" si="31"/>
        <v>0.030000000000000002</v>
      </c>
      <c r="B860" s="559">
        <f t="shared" si="29"/>
        <v>2830</v>
      </c>
      <c r="C860" s="559">
        <f t="shared" si="30"/>
        <v>2604</v>
      </c>
      <c r="D860" s="559">
        <f t="shared" si="30"/>
        <v>2446</v>
      </c>
      <c r="E860" s="559">
        <f t="shared" si="30"/>
        <v>2320</v>
      </c>
      <c r="F860" s="559">
        <f t="shared" si="30"/>
        <v>2212</v>
      </c>
      <c r="G860" s="559">
        <f t="shared" si="30"/>
        <v>2118</v>
      </c>
      <c r="H860" s="559">
        <f t="shared" si="30"/>
        <v>2033</v>
      </c>
      <c r="I860" s="559">
        <f t="shared" si="30"/>
        <v>1956</v>
      </c>
      <c r="J860" s="559">
        <f t="shared" si="30"/>
        <v>1884</v>
      </c>
      <c r="K860" s="559">
        <f t="shared" si="30"/>
        <v>1817</v>
      </c>
    </row>
    <row r="861" spans="1:11" ht="12.75">
      <c r="A861" s="554">
        <f t="shared" si="31"/>
        <v>0.035</v>
      </c>
      <c r="B861" s="559">
        <f t="shared" si="29"/>
        <v>2485</v>
      </c>
      <c r="C861" s="559">
        <f t="shared" si="30"/>
        <v>2252</v>
      </c>
      <c r="D861" s="559">
        <f t="shared" si="30"/>
        <v>2093</v>
      </c>
      <c r="E861" s="559">
        <f t="shared" si="30"/>
        <v>1968</v>
      </c>
      <c r="F861" s="559">
        <f t="shared" si="30"/>
        <v>1864</v>
      </c>
      <c r="G861" s="559">
        <f t="shared" si="30"/>
        <v>1773</v>
      </c>
      <c r="H861" s="559">
        <f t="shared" si="30"/>
        <v>1693</v>
      </c>
      <c r="I861" s="559">
        <f t="shared" si="30"/>
        <v>1620</v>
      </c>
      <c r="J861" s="559">
        <f t="shared" si="30"/>
        <v>1553</v>
      </c>
      <c r="K861" s="559">
        <f t="shared" si="30"/>
        <v>1492</v>
      </c>
    </row>
    <row r="862" spans="1:11" ht="12.75">
      <c r="A862" s="554">
        <f t="shared" si="31"/>
        <v>0.04</v>
      </c>
      <c r="B862" s="559">
        <f t="shared" si="29"/>
        <v>2179</v>
      </c>
      <c r="C862" s="559">
        <f t="shared" si="30"/>
        <v>1948</v>
      </c>
      <c r="D862" s="559">
        <f t="shared" si="30"/>
        <v>1794</v>
      </c>
      <c r="E862" s="559">
        <f t="shared" si="30"/>
        <v>1675</v>
      </c>
      <c r="F862" s="559">
        <f t="shared" si="30"/>
        <v>1577</v>
      </c>
      <c r="G862" s="559">
        <f t="shared" si="30"/>
        <v>1493</v>
      </c>
      <c r="H862" s="559">
        <f t="shared" si="30"/>
        <v>1419</v>
      </c>
      <c r="I862" s="559">
        <f t="shared" si="30"/>
        <v>1352</v>
      </c>
      <c r="J862" s="559">
        <f t="shared" si="30"/>
        <v>1292</v>
      </c>
      <c r="K862" s="559">
        <f t="shared" si="30"/>
        <v>1236</v>
      </c>
    </row>
    <row r="863" spans="1:11" ht="12.75">
      <c r="A863" s="554">
        <f t="shared" si="31"/>
        <v>0.045</v>
      </c>
      <c r="B863" s="559">
        <f t="shared" si="29"/>
        <v>1912</v>
      </c>
      <c r="C863" s="559">
        <f t="shared" si="30"/>
        <v>1690</v>
      </c>
      <c r="D863" s="559">
        <f t="shared" si="30"/>
        <v>1544</v>
      </c>
      <c r="E863" s="559">
        <f t="shared" si="30"/>
        <v>1433</v>
      </c>
      <c r="F863" s="559">
        <f t="shared" si="30"/>
        <v>1343</v>
      </c>
      <c r="G863" s="559">
        <f t="shared" si="30"/>
        <v>1266</v>
      </c>
      <c r="H863" s="559">
        <f t="shared" si="30"/>
        <v>1199</v>
      </c>
      <c r="I863" s="559">
        <f t="shared" si="30"/>
        <v>1139</v>
      </c>
      <c r="J863" s="559">
        <f t="shared" si="30"/>
        <v>1085</v>
      </c>
      <c r="K863" s="559">
        <f t="shared" si="30"/>
        <v>1035</v>
      </c>
    </row>
    <row r="864" spans="1:11" ht="12.75">
      <c r="A864" s="554">
        <f t="shared" si="31"/>
        <v>0.049999999999999996</v>
      </c>
      <c r="B864" s="559">
        <f t="shared" si="29"/>
        <v>1682</v>
      </c>
      <c r="C864" s="559">
        <f t="shared" si="30"/>
        <v>1472</v>
      </c>
      <c r="D864" s="559">
        <f t="shared" si="30"/>
        <v>1336</v>
      </c>
      <c r="E864" s="559">
        <f t="shared" si="30"/>
        <v>1234</v>
      </c>
      <c r="F864" s="571">
        <f t="shared" si="30"/>
        <v>1152</v>
      </c>
      <c r="G864" s="559">
        <f t="shared" si="30"/>
        <v>1082</v>
      </c>
      <c r="H864" s="559">
        <f t="shared" si="30"/>
        <v>1022</v>
      </c>
      <c r="I864" s="559">
        <f t="shared" si="30"/>
        <v>968</v>
      </c>
      <c r="J864" s="559">
        <f t="shared" si="30"/>
        <v>920</v>
      </c>
      <c r="K864" s="559">
        <f t="shared" si="30"/>
        <v>876</v>
      </c>
    </row>
    <row r="865" spans="1:11" ht="12.75">
      <c r="A865" s="554">
        <f t="shared" si="31"/>
        <v>0.05499999999999999</v>
      </c>
      <c r="B865" s="559">
        <f t="shared" si="29"/>
        <v>1485</v>
      </c>
      <c r="C865" s="559">
        <f t="shared" si="30"/>
        <v>1288</v>
      </c>
      <c r="D865" s="559">
        <f t="shared" si="30"/>
        <v>1163</v>
      </c>
      <c r="E865" s="559">
        <f t="shared" si="30"/>
        <v>1070</v>
      </c>
      <c r="F865" s="559">
        <f t="shared" si="30"/>
        <v>995</v>
      </c>
      <c r="G865" s="559">
        <f t="shared" si="30"/>
        <v>932</v>
      </c>
      <c r="H865" s="559">
        <f t="shared" si="30"/>
        <v>878</v>
      </c>
      <c r="I865" s="559">
        <f t="shared" si="30"/>
        <v>831</v>
      </c>
      <c r="J865" s="559">
        <f t="shared" si="30"/>
        <v>788</v>
      </c>
      <c r="K865" s="559">
        <f t="shared" si="30"/>
        <v>749</v>
      </c>
    </row>
    <row r="866" spans="1:11" ht="12.75">
      <c r="A866" s="554">
        <f t="shared" si="31"/>
        <v>0.05999999999999999</v>
      </c>
      <c r="B866" s="559">
        <f t="shared" si="29"/>
        <v>1316</v>
      </c>
      <c r="C866" s="559">
        <f t="shared" si="30"/>
        <v>1133</v>
      </c>
      <c r="D866" s="559">
        <f t="shared" si="30"/>
        <v>1019</v>
      </c>
      <c r="E866" s="559">
        <f t="shared" si="30"/>
        <v>934</v>
      </c>
      <c r="F866" s="559">
        <f t="shared" si="30"/>
        <v>866</v>
      </c>
      <c r="G866" s="559">
        <f t="shared" si="30"/>
        <v>810</v>
      </c>
      <c r="H866" s="559">
        <f t="shared" si="30"/>
        <v>761</v>
      </c>
      <c r="I866" s="559">
        <f t="shared" si="30"/>
        <v>719</v>
      </c>
      <c r="J866" s="559">
        <f t="shared" si="30"/>
        <v>681</v>
      </c>
      <c r="K866" s="559">
        <f t="shared" si="30"/>
        <v>646</v>
      </c>
    </row>
    <row r="867" spans="1:11" ht="12.75">
      <c r="A867" s="554">
        <f t="shared" si="31"/>
        <v>0.06499999999999999</v>
      </c>
      <c r="B867" s="559">
        <f t="shared" si="29"/>
        <v>1171</v>
      </c>
      <c r="C867" s="559">
        <f t="shared" si="30"/>
        <v>1002</v>
      </c>
      <c r="D867" s="559">
        <f t="shared" si="30"/>
        <v>897</v>
      </c>
      <c r="E867" s="559">
        <f t="shared" si="30"/>
        <v>821</v>
      </c>
      <c r="F867" s="559">
        <f t="shared" si="30"/>
        <v>759</v>
      </c>
      <c r="G867" s="559">
        <f t="shared" si="30"/>
        <v>709</v>
      </c>
      <c r="H867" s="559">
        <f t="shared" si="30"/>
        <v>665</v>
      </c>
      <c r="I867" s="559">
        <f t="shared" si="30"/>
        <v>627</v>
      </c>
      <c r="J867" s="559">
        <f t="shared" si="30"/>
        <v>593</v>
      </c>
      <c r="K867" s="559">
        <f t="shared" si="30"/>
        <v>562</v>
      </c>
    </row>
    <row r="868" spans="1:11" ht="12.75">
      <c r="A868" s="554">
        <f t="shared" si="31"/>
        <v>0.06999999999999999</v>
      </c>
      <c r="B868" s="559">
        <f t="shared" si="29"/>
        <v>1046</v>
      </c>
      <c r="C868" s="559">
        <f t="shared" si="30"/>
        <v>891</v>
      </c>
      <c r="D868" s="559">
        <f t="shared" si="30"/>
        <v>795</v>
      </c>
      <c r="E868" s="559">
        <f t="shared" si="30"/>
        <v>725</v>
      </c>
      <c r="F868" s="559">
        <f t="shared" si="30"/>
        <v>670</v>
      </c>
      <c r="G868" s="559">
        <f t="shared" si="30"/>
        <v>624</v>
      </c>
      <c r="H868" s="559">
        <f t="shared" si="30"/>
        <v>585</v>
      </c>
      <c r="I868" s="559">
        <f t="shared" si="30"/>
        <v>551</v>
      </c>
      <c r="J868" s="559">
        <f t="shared" si="30"/>
        <v>521</v>
      </c>
      <c r="K868" s="559">
        <f t="shared" si="30"/>
        <v>493</v>
      </c>
    </row>
    <row r="869" spans="1:11" ht="12.75">
      <c r="A869" s="554">
        <f t="shared" si="31"/>
        <v>0.075</v>
      </c>
      <c r="B869" s="559">
        <f t="shared" si="29"/>
        <v>939</v>
      </c>
      <c r="C869" s="559">
        <f t="shared" si="30"/>
        <v>796</v>
      </c>
      <c r="D869" s="559">
        <f t="shared" si="30"/>
        <v>709</v>
      </c>
      <c r="E869" s="559">
        <f t="shared" si="30"/>
        <v>645</v>
      </c>
      <c r="F869" s="559">
        <f t="shared" si="30"/>
        <v>595</v>
      </c>
      <c r="G869" s="559">
        <f t="shared" si="30"/>
        <v>554</v>
      </c>
      <c r="H869" s="559">
        <f t="shared" si="30"/>
        <v>518</v>
      </c>
      <c r="I869" s="559">
        <f t="shared" si="30"/>
        <v>488</v>
      </c>
      <c r="J869" s="559">
        <f t="shared" si="30"/>
        <v>460</v>
      </c>
      <c r="K869" s="559">
        <f t="shared" si="30"/>
        <v>436</v>
      </c>
    </row>
    <row r="870" spans="1:11" ht="12.75">
      <c r="A870" s="554">
        <f t="shared" si="31"/>
        <v>0.08</v>
      </c>
      <c r="B870" s="559">
        <f t="shared" si="29"/>
        <v>846</v>
      </c>
      <c r="C870" s="559">
        <f t="shared" si="30"/>
        <v>715</v>
      </c>
      <c r="D870" s="559">
        <f t="shared" si="30"/>
        <v>635</v>
      </c>
      <c r="E870" s="559">
        <f t="shared" si="30"/>
        <v>577</v>
      </c>
      <c r="F870" s="559">
        <f t="shared" si="30"/>
        <v>531</v>
      </c>
      <c r="G870" s="559">
        <f t="shared" si="30"/>
        <v>494</v>
      </c>
      <c r="H870" s="559">
        <f t="shared" si="30"/>
        <v>462</v>
      </c>
      <c r="I870" s="559">
        <f t="shared" si="30"/>
        <v>434</v>
      </c>
      <c r="J870" s="559">
        <f t="shared" si="30"/>
        <v>410</v>
      </c>
      <c r="K870" s="559">
        <f t="shared" si="30"/>
        <v>388</v>
      </c>
    </row>
    <row r="871" spans="1:11" ht="12.75">
      <c r="A871" s="554">
        <f t="shared" si="31"/>
        <v>0.085</v>
      </c>
      <c r="B871" s="559">
        <f t="shared" si="29"/>
        <v>766</v>
      </c>
      <c r="C871" s="559">
        <f aca="true" t="shared" si="32" ref="C871:K871">ROUND(IF($C$851&gt;0,((C$854^2*$C$850*(1-$C$850))/($A871*$C$850)^2)/(1+((C$854^2*$C$850*(1-$C$850))/($A871*$C$850)^2)/$C$851),((C$854^2*$C$850*(1-$C$850))/($A871*$C$850)^2))+0.5,0)</f>
        <v>644</v>
      </c>
      <c r="D871" s="559">
        <f t="shared" si="32"/>
        <v>571</v>
      </c>
      <c r="E871" s="559">
        <f t="shared" si="32"/>
        <v>518</v>
      </c>
      <c r="F871" s="559">
        <f t="shared" si="32"/>
        <v>477</v>
      </c>
      <c r="G871" s="559">
        <f t="shared" si="32"/>
        <v>443</v>
      </c>
      <c r="H871" s="559">
        <f t="shared" si="32"/>
        <v>414</v>
      </c>
      <c r="I871" s="559">
        <f t="shared" si="32"/>
        <v>389</v>
      </c>
      <c r="J871" s="559">
        <f t="shared" si="32"/>
        <v>367</v>
      </c>
      <c r="K871" s="559">
        <f t="shared" si="32"/>
        <v>347</v>
      </c>
    </row>
    <row r="872" spans="1:11" ht="12.75">
      <c r="A872" s="554">
        <f t="shared" si="31"/>
        <v>0.09000000000000001</v>
      </c>
      <c r="B872" s="559">
        <f aca="true" t="shared" si="33" ref="B872:K874">ROUND(IF($C$851&gt;0,((B$854^2*$C$850*(1-$C$850))/($A872*$C$850)^2)/(1+((B$854^2*$C$850*(1-$C$850))/($A872*$C$850)^2)/$C$851),((B$854^2*$C$850*(1-$C$850))/($A872*$C$850)^2))+0.5,0)</f>
        <v>696</v>
      </c>
      <c r="C872" s="559">
        <f t="shared" si="33"/>
        <v>584</v>
      </c>
      <c r="D872" s="559">
        <f t="shared" si="33"/>
        <v>517</v>
      </c>
      <c r="E872" s="559">
        <f t="shared" si="33"/>
        <v>468</v>
      </c>
      <c r="F872" s="559">
        <f t="shared" si="33"/>
        <v>430</v>
      </c>
      <c r="G872" s="559">
        <f t="shared" si="33"/>
        <v>399</v>
      </c>
      <c r="H872" s="559">
        <f t="shared" si="33"/>
        <v>373</v>
      </c>
      <c r="I872" s="559">
        <f t="shared" si="33"/>
        <v>350</v>
      </c>
      <c r="J872" s="559">
        <f t="shared" si="33"/>
        <v>330</v>
      </c>
      <c r="K872" s="559">
        <f t="shared" si="33"/>
        <v>312</v>
      </c>
    </row>
    <row r="873" spans="1:11" ht="12.75">
      <c r="A873" s="554">
        <f t="shared" si="31"/>
        <v>0.09500000000000001</v>
      </c>
      <c r="B873" s="559">
        <f t="shared" si="33"/>
        <v>634</v>
      </c>
      <c r="C873" s="559">
        <f t="shared" si="33"/>
        <v>531</v>
      </c>
      <c r="D873" s="559">
        <f t="shared" si="33"/>
        <v>469</v>
      </c>
      <c r="E873" s="559">
        <f t="shared" si="33"/>
        <v>425</v>
      </c>
      <c r="F873" s="559">
        <f t="shared" si="33"/>
        <v>390</v>
      </c>
      <c r="G873" s="559">
        <f t="shared" si="33"/>
        <v>362</v>
      </c>
      <c r="H873" s="559">
        <f t="shared" si="33"/>
        <v>338</v>
      </c>
      <c r="I873" s="559">
        <f t="shared" si="33"/>
        <v>317</v>
      </c>
      <c r="J873" s="559">
        <f t="shared" si="33"/>
        <v>298</v>
      </c>
      <c r="K873" s="559">
        <f t="shared" si="33"/>
        <v>282</v>
      </c>
    </row>
    <row r="874" spans="1:11" ht="12.75">
      <c r="A874" s="556">
        <f t="shared" si="31"/>
        <v>0.10000000000000002</v>
      </c>
      <c r="B874" s="560">
        <f t="shared" si="33"/>
        <v>580</v>
      </c>
      <c r="C874" s="560">
        <f t="shared" si="33"/>
        <v>485</v>
      </c>
      <c r="D874" s="560">
        <f t="shared" si="33"/>
        <v>428</v>
      </c>
      <c r="E874" s="560">
        <f t="shared" si="33"/>
        <v>387</v>
      </c>
      <c r="F874" s="560">
        <f t="shared" si="33"/>
        <v>355</v>
      </c>
      <c r="G874" s="560">
        <f t="shared" si="33"/>
        <v>329</v>
      </c>
      <c r="H874" s="560">
        <f t="shared" si="33"/>
        <v>307</v>
      </c>
      <c r="I874" s="560">
        <f t="shared" si="33"/>
        <v>288</v>
      </c>
      <c r="J874" s="560">
        <f t="shared" si="33"/>
        <v>271</v>
      </c>
      <c r="K874" s="560">
        <f t="shared" si="33"/>
        <v>256</v>
      </c>
    </row>
    <row r="876" ht="12.75">
      <c r="A876" s="572" t="s">
        <v>260</v>
      </c>
    </row>
    <row r="877" spans="5:7" ht="12.75">
      <c r="E877" s="77"/>
      <c r="G877" s="552"/>
    </row>
  </sheetData>
  <sheetProtection password="89E6" sheet="1" objects="1" scenarios="1"/>
  <mergeCells count="31">
    <mergeCell ref="B852:K852"/>
    <mergeCell ref="B595:D595"/>
    <mergeCell ref="B617:D617"/>
    <mergeCell ref="B660:D660"/>
    <mergeCell ref="B824:K824"/>
    <mergeCell ref="B512:D512"/>
    <mergeCell ref="B523:D523"/>
    <mergeCell ref="B555:D555"/>
    <mergeCell ref="B564:D564"/>
    <mergeCell ref="C425:E425"/>
    <mergeCell ref="C448:E448"/>
    <mergeCell ref="B472:D472"/>
    <mergeCell ref="B482:D482"/>
    <mergeCell ref="G384:H384"/>
    <mergeCell ref="G405:H405"/>
    <mergeCell ref="B413:C413"/>
    <mergeCell ref="I413:J413"/>
    <mergeCell ref="E413:F413"/>
    <mergeCell ref="B339:C339"/>
    <mergeCell ref="B347:C347"/>
    <mergeCell ref="B355:C355"/>
    <mergeCell ref="B363:C363"/>
    <mergeCell ref="B311:D311"/>
    <mergeCell ref="E311:F311"/>
    <mergeCell ref="E303:F303"/>
    <mergeCell ref="B328:C328"/>
    <mergeCell ref="B196:C196"/>
    <mergeCell ref="D80:F80"/>
    <mergeCell ref="A104:B104"/>
    <mergeCell ref="C104:E104"/>
    <mergeCell ref="F104:G104"/>
  </mergeCells>
  <printOptions/>
  <pageMargins left="0.75" right="0.75" top="1" bottom="1" header="0" footer="0"/>
  <pageSetup orientation="portrait" r:id="rId2"/>
  <ignoredErrors>
    <ignoredError sqref="B418" formula="1"/>
  </ignoredErrors>
  <drawing r:id="rId1"/>
</worksheet>
</file>

<file path=xl/worksheets/sheet5.xml><?xml version="1.0" encoding="utf-8"?>
<worksheet xmlns="http://schemas.openxmlformats.org/spreadsheetml/2006/main" xmlns:r="http://schemas.openxmlformats.org/officeDocument/2006/relationships">
  <dimension ref="A1:R1539"/>
  <sheetViews>
    <sheetView workbookViewId="0" topLeftCell="A1">
      <selection activeCell="A8" sqref="A8"/>
    </sheetView>
  </sheetViews>
  <sheetFormatPr defaultColWidth="11.421875" defaultRowHeight="12.75"/>
  <cols>
    <col min="1" max="1" width="10.7109375" style="95" customWidth="1"/>
    <col min="2" max="4" width="10.8515625" style="0" customWidth="1"/>
    <col min="5" max="5" width="10.8515625" style="18" customWidth="1"/>
    <col min="6" max="6" width="10.8515625" style="0" customWidth="1"/>
    <col min="7" max="11" width="8.7109375" style="0" customWidth="1"/>
  </cols>
  <sheetData>
    <row r="1" spans="1:15" s="95" customFormat="1" ht="11.25">
      <c r="A1" s="191"/>
      <c r="B1" s="281"/>
      <c r="C1" s="128" t="s">
        <v>4</v>
      </c>
      <c r="D1" s="59" t="s">
        <v>5</v>
      </c>
      <c r="E1" s="128" t="s">
        <v>0</v>
      </c>
      <c r="F1" s="669" t="s">
        <v>6</v>
      </c>
      <c r="G1" s="653"/>
      <c r="H1" s="653"/>
      <c r="I1" s="654"/>
      <c r="J1" s="669" t="s">
        <v>7</v>
      </c>
      <c r="K1" s="653"/>
      <c r="L1" s="654"/>
      <c r="M1" s="669" t="s">
        <v>8</v>
      </c>
      <c r="N1" s="653"/>
      <c r="O1" s="654"/>
    </row>
    <row r="2" spans="1:15" s="95" customFormat="1" ht="12" thickBot="1">
      <c r="A2" s="192" t="s">
        <v>1</v>
      </c>
      <c r="B2" s="159" t="s">
        <v>2</v>
      </c>
      <c r="C2" s="282" t="s">
        <v>9</v>
      </c>
      <c r="D2" s="283" t="s">
        <v>10</v>
      </c>
      <c r="E2" s="282" t="s">
        <v>11</v>
      </c>
      <c r="F2" s="284" t="s">
        <v>12</v>
      </c>
      <c r="G2" s="156" t="s">
        <v>13</v>
      </c>
      <c r="H2" s="160" t="s">
        <v>14</v>
      </c>
      <c r="I2" s="156" t="s">
        <v>15</v>
      </c>
      <c r="J2" s="160" t="s">
        <v>16</v>
      </c>
      <c r="K2" s="156" t="s">
        <v>17</v>
      </c>
      <c r="L2" s="160" t="s">
        <v>18</v>
      </c>
      <c r="M2" s="156" t="s">
        <v>19</v>
      </c>
      <c r="N2" s="160" t="s">
        <v>20</v>
      </c>
      <c r="O2" s="157" t="s">
        <v>21</v>
      </c>
    </row>
    <row r="3" spans="1:15" ht="13.5" thickTop="1">
      <c r="A3" s="93">
        <v>1</v>
      </c>
      <c r="B3" s="91">
        <v>3231</v>
      </c>
      <c r="C3" s="254">
        <v>1</v>
      </c>
      <c r="D3" s="27">
        <v>52</v>
      </c>
      <c r="E3" s="255">
        <v>3.199</v>
      </c>
      <c r="F3" s="258">
        <v>0</v>
      </c>
      <c r="G3" s="256">
        <v>1</v>
      </c>
      <c r="H3" s="258">
        <v>0</v>
      </c>
      <c r="I3" s="256">
        <v>0</v>
      </c>
      <c r="J3" s="27">
        <v>0</v>
      </c>
      <c r="K3" s="254">
        <v>1</v>
      </c>
      <c r="L3" s="27">
        <v>0</v>
      </c>
      <c r="M3" s="254">
        <v>0</v>
      </c>
      <c r="N3" s="27">
        <v>0</v>
      </c>
      <c r="O3" s="264">
        <v>1</v>
      </c>
    </row>
    <row r="4" spans="1:15" ht="12.75">
      <c r="A4" s="93">
        <v>2</v>
      </c>
      <c r="B4" s="91">
        <v>855</v>
      </c>
      <c r="C4" s="254">
        <v>0</v>
      </c>
      <c r="D4" s="27">
        <v>53</v>
      </c>
      <c r="E4" s="255">
        <v>4.056</v>
      </c>
      <c r="F4" s="258">
        <v>0</v>
      </c>
      <c r="G4" s="256">
        <v>0</v>
      </c>
      <c r="H4" s="258">
        <v>0</v>
      </c>
      <c r="I4" s="256">
        <v>1</v>
      </c>
      <c r="J4" s="27">
        <v>1</v>
      </c>
      <c r="K4" s="254">
        <v>0</v>
      </c>
      <c r="L4" s="27">
        <v>0</v>
      </c>
      <c r="M4" s="254">
        <v>1</v>
      </c>
      <c r="N4" s="27">
        <v>0</v>
      </c>
      <c r="O4" s="264">
        <v>0</v>
      </c>
    </row>
    <row r="5" spans="1:15" ht="12.75">
      <c r="A5" s="93">
        <v>3</v>
      </c>
      <c r="B5" s="91">
        <v>2318</v>
      </c>
      <c r="C5" s="254">
        <v>0</v>
      </c>
      <c r="D5" s="27">
        <v>53</v>
      </c>
      <c r="E5" s="255">
        <v>3.346</v>
      </c>
      <c r="F5" s="258">
        <v>0</v>
      </c>
      <c r="G5" s="256">
        <v>1</v>
      </c>
      <c r="H5" s="258">
        <v>0</v>
      </c>
      <c r="I5" s="256">
        <v>0</v>
      </c>
      <c r="J5" s="27">
        <v>0</v>
      </c>
      <c r="K5" s="254">
        <v>1</v>
      </c>
      <c r="L5" s="27">
        <v>0</v>
      </c>
      <c r="M5" s="254">
        <v>0</v>
      </c>
      <c r="N5" s="27">
        <v>1</v>
      </c>
      <c r="O5" s="264">
        <v>0</v>
      </c>
    </row>
    <row r="6" spans="1:15" ht="12.75">
      <c r="A6" s="93">
        <v>4</v>
      </c>
      <c r="B6" s="91">
        <v>1608</v>
      </c>
      <c r="C6" s="254">
        <v>0</v>
      </c>
      <c r="D6" s="27">
        <v>54</v>
      </c>
      <c r="E6" s="255">
        <v>3.15</v>
      </c>
      <c r="F6" s="258">
        <v>0</v>
      </c>
      <c r="G6" s="256">
        <v>1</v>
      </c>
      <c r="H6" s="258">
        <v>0</v>
      </c>
      <c r="I6" s="256">
        <v>0</v>
      </c>
      <c r="J6" s="27">
        <v>0</v>
      </c>
      <c r="K6" s="254">
        <v>1</v>
      </c>
      <c r="L6" s="27">
        <v>0</v>
      </c>
      <c r="M6" s="254">
        <v>1</v>
      </c>
      <c r="N6" s="27">
        <v>0</v>
      </c>
      <c r="O6" s="264">
        <v>0</v>
      </c>
    </row>
    <row r="7" spans="1:15" ht="12.75">
      <c r="A7" s="93">
        <v>5</v>
      </c>
      <c r="B7" s="91">
        <v>4572</v>
      </c>
      <c r="C7" s="254">
        <v>1</v>
      </c>
      <c r="D7" s="27">
        <v>54</v>
      </c>
      <c r="E7" s="255">
        <v>3.098</v>
      </c>
      <c r="F7" s="258">
        <v>0</v>
      </c>
      <c r="G7" s="256">
        <v>1</v>
      </c>
      <c r="H7" s="258">
        <v>0</v>
      </c>
      <c r="I7" s="256">
        <v>0</v>
      </c>
      <c r="J7" s="27">
        <v>0</v>
      </c>
      <c r="K7" s="254">
        <v>0</v>
      </c>
      <c r="L7" s="27">
        <v>1</v>
      </c>
      <c r="M7" s="254">
        <v>0</v>
      </c>
      <c r="N7" s="27">
        <v>0</v>
      </c>
      <c r="O7" s="264">
        <v>1</v>
      </c>
    </row>
    <row r="8" spans="1:15" ht="12.75">
      <c r="A8" s="93">
        <v>6</v>
      </c>
      <c r="B8" s="91">
        <v>253</v>
      </c>
      <c r="C8" s="254">
        <v>0</v>
      </c>
      <c r="D8" s="27">
        <v>55</v>
      </c>
      <c r="E8" s="255">
        <v>3.347</v>
      </c>
      <c r="F8" s="258">
        <v>0</v>
      </c>
      <c r="G8" s="256">
        <v>1</v>
      </c>
      <c r="H8" s="258">
        <v>0</v>
      </c>
      <c r="I8" s="256">
        <v>0</v>
      </c>
      <c r="J8" s="27">
        <v>0</v>
      </c>
      <c r="K8" s="254">
        <v>1</v>
      </c>
      <c r="L8" s="27">
        <v>0</v>
      </c>
      <c r="M8" s="254">
        <v>0</v>
      </c>
      <c r="N8" s="27">
        <v>1</v>
      </c>
      <c r="O8" s="264">
        <v>0</v>
      </c>
    </row>
    <row r="9" spans="1:15" ht="12.75">
      <c r="A9" s="93">
        <v>7</v>
      </c>
      <c r="B9" s="91">
        <v>336</v>
      </c>
      <c r="C9" s="254">
        <v>0</v>
      </c>
      <c r="D9" s="27">
        <v>52</v>
      </c>
      <c r="E9" s="255">
        <v>3.838</v>
      </c>
      <c r="F9" s="258">
        <v>0</v>
      </c>
      <c r="G9" s="256">
        <v>0</v>
      </c>
      <c r="H9" s="258">
        <v>0</v>
      </c>
      <c r="I9" s="256">
        <v>1</v>
      </c>
      <c r="J9" s="27">
        <v>0</v>
      </c>
      <c r="K9" s="254">
        <v>0</v>
      </c>
      <c r="L9" s="27">
        <v>1</v>
      </c>
      <c r="M9" s="254">
        <v>0</v>
      </c>
      <c r="N9" s="27">
        <v>1</v>
      </c>
      <c r="O9" s="264">
        <v>0</v>
      </c>
    </row>
    <row r="10" spans="1:15" ht="12.75">
      <c r="A10" s="93">
        <v>8</v>
      </c>
      <c r="B10" s="91">
        <v>237</v>
      </c>
      <c r="C10" s="254">
        <v>1</v>
      </c>
      <c r="D10" s="27">
        <v>52</v>
      </c>
      <c r="E10" s="255">
        <v>3.156</v>
      </c>
      <c r="F10" s="258">
        <v>0</v>
      </c>
      <c r="G10" s="256">
        <v>1</v>
      </c>
      <c r="H10" s="258">
        <v>0</v>
      </c>
      <c r="I10" s="256">
        <v>0</v>
      </c>
      <c r="J10" s="27">
        <v>0</v>
      </c>
      <c r="K10" s="254">
        <v>1</v>
      </c>
      <c r="L10" s="27">
        <v>0</v>
      </c>
      <c r="M10" s="254">
        <v>0</v>
      </c>
      <c r="N10" s="27">
        <v>1</v>
      </c>
      <c r="O10" s="264">
        <v>0</v>
      </c>
    </row>
    <row r="11" spans="1:15" ht="12.75">
      <c r="A11" s="93">
        <v>9</v>
      </c>
      <c r="B11" s="91">
        <v>2422</v>
      </c>
      <c r="C11" s="254">
        <v>0</v>
      </c>
      <c r="D11" s="27">
        <v>55</v>
      </c>
      <c r="E11" s="255">
        <v>3.245</v>
      </c>
      <c r="F11" s="258">
        <v>0</v>
      </c>
      <c r="G11" s="256">
        <v>1</v>
      </c>
      <c r="H11" s="258">
        <v>0</v>
      </c>
      <c r="I11" s="256">
        <v>0</v>
      </c>
      <c r="J11" s="27">
        <v>0</v>
      </c>
      <c r="K11" s="254">
        <v>1</v>
      </c>
      <c r="L11" s="27">
        <v>0</v>
      </c>
      <c r="M11" s="254">
        <v>1</v>
      </c>
      <c r="N11" s="27">
        <v>0</v>
      </c>
      <c r="O11" s="264">
        <v>0</v>
      </c>
    </row>
    <row r="12" spans="1:15" ht="12.75">
      <c r="A12" s="93">
        <v>10</v>
      </c>
      <c r="B12" s="91">
        <v>2043</v>
      </c>
      <c r="C12" s="254">
        <v>0</v>
      </c>
      <c r="D12" s="27">
        <v>55</v>
      </c>
      <c r="E12" s="255">
        <v>3.152</v>
      </c>
      <c r="F12" s="258">
        <v>0</v>
      </c>
      <c r="G12" s="256">
        <v>1</v>
      </c>
      <c r="H12" s="258">
        <v>0</v>
      </c>
      <c r="I12" s="256">
        <v>0</v>
      </c>
      <c r="J12" s="27">
        <v>0</v>
      </c>
      <c r="K12" s="254">
        <v>1</v>
      </c>
      <c r="L12" s="27">
        <v>0</v>
      </c>
      <c r="M12" s="254">
        <v>1</v>
      </c>
      <c r="N12" s="27">
        <v>0</v>
      </c>
      <c r="O12" s="264">
        <v>0</v>
      </c>
    </row>
    <row r="13" spans="1:15" ht="12.75">
      <c r="A13" s="93">
        <v>11</v>
      </c>
      <c r="B13" s="91">
        <v>1390</v>
      </c>
      <c r="C13" s="254">
        <v>1</v>
      </c>
      <c r="D13" s="27">
        <v>53</v>
      </c>
      <c r="E13" s="255">
        <v>3.999</v>
      </c>
      <c r="F13" s="258">
        <v>0</v>
      </c>
      <c r="G13" s="256">
        <v>0</v>
      </c>
      <c r="H13" s="258">
        <v>0</v>
      </c>
      <c r="I13" s="256">
        <v>1</v>
      </c>
      <c r="J13" s="27">
        <v>1</v>
      </c>
      <c r="K13" s="254">
        <v>0</v>
      </c>
      <c r="L13" s="27">
        <v>0</v>
      </c>
      <c r="M13" s="254">
        <v>1</v>
      </c>
      <c r="N13" s="27">
        <v>0</v>
      </c>
      <c r="O13" s="264">
        <v>0</v>
      </c>
    </row>
    <row r="14" spans="1:15" ht="12.75">
      <c r="A14" s="93">
        <v>12</v>
      </c>
      <c r="B14" s="91">
        <v>3951</v>
      </c>
      <c r="C14" s="254">
        <v>0</v>
      </c>
      <c r="D14" s="27">
        <v>53</v>
      </c>
      <c r="E14" s="255">
        <v>3.35</v>
      </c>
      <c r="F14" s="258">
        <v>0</v>
      </c>
      <c r="G14" s="256">
        <v>1</v>
      </c>
      <c r="H14" s="258">
        <v>0</v>
      </c>
      <c r="I14" s="256">
        <v>0</v>
      </c>
      <c r="J14" s="27">
        <v>0</v>
      </c>
      <c r="K14" s="254">
        <v>0</v>
      </c>
      <c r="L14" s="27">
        <v>1</v>
      </c>
      <c r="M14" s="254">
        <v>0</v>
      </c>
      <c r="N14" s="27">
        <v>1</v>
      </c>
      <c r="O14" s="264">
        <v>0</v>
      </c>
    </row>
    <row r="15" spans="1:15" ht="12.75">
      <c r="A15" s="93">
        <v>13</v>
      </c>
      <c r="B15" s="91">
        <v>3710</v>
      </c>
      <c r="C15" s="254">
        <v>1</v>
      </c>
      <c r="D15" s="27">
        <v>52</v>
      </c>
      <c r="E15" s="255">
        <v>3.586</v>
      </c>
      <c r="F15" s="258">
        <v>0</v>
      </c>
      <c r="G15" s="256">
        <v>0</v>
      </c>
      <c r="H15" s="258">
        <v>1</v>
      </c>
      <c r="I15" s="256">
        <v>0</v>
      </c>
      <c r="J15" s="27">
        <v>0</v>
      </c>
      <c r="K15" s="254">
        <v>0</v>
      </c>
      <c r="L15" s="27">
        <v>1</v>
      </c>
      <c r="M15" s="254">
        <v>0</v>
      </c>
      <c r="N15" s="27">
        <v>1</v>
      </c>
      <c r="O15" s="264">
        <v>0</v>
      </c>
    </row>
    <row r="16" spans="1:15" ht="12.75">
      <c r="A16" s="93">
        <v>14</v>
      </c>
      <c r="B16" s="91">
        <v>930</v>
      </c>
      <c r="C16" s="254">
        <v>0</v>
      </c>
      <c r="D16" s="27">
        <v>52</v>
      </c>
      <c r="E16" s="255">
        <v>3.321</v>
      </c>
      <c r="F16" s="258">
        <v>0</v>
      </c>
      <c r="G16" s="256">
        <v>1</v>
      </c>
      <c r="H16" s="258">
        <v>0</v>
      </c>
      <c r="I16" s="256">
        <v>0</v>
      </c>
      <c r="J16" s="27">
        <v>0</v>
      </c>
      <c r="K16" s="254">
        <v>1</v>
      </c>
      <c r="L16" s="27">
        <v>0</v>
      </c>
      <c r="M16" s="254">
        <v>0</v>
      </c>
      <c r="N16" s="27">
        <v>1</v>
      </c>
      <c r="O16" s="264">
        <v>0</v>
      </c>
    </row>
    <row r="17" spans="1:15" ht="12.75">
      <c r="A17" s="93">
        <v>15</v>
      </c>
      <c r="B17" s="91">
        <v>3539</v>
      </c>
      <c r="C17" s="254">
        <v>0</v>
      </c>
      <c r="D17" s="27">
        <v>55</v>
      </c>
      <c r="E17" s="255">
        <v>4.519</v>
      </c>
      <c r="F17" s="258">
        <v>0</v>
      </c>
      <c r="G17" s="256">
        <v>0</v>
      </c>
      <c r="H17" s="258">
        <v>0</v>
      </c>
      <c r="I17" s="256">
        <v>1</v>
      </c>
      <c r="J17" s="27">
        <v>0</v>
      </c>
      <c r="K17" s="254">
        <v>1</v>
      </c>
      <c r="L17" s="27">
        <v>0</v>
      </c>
      <c r="M17" s="254">
        <v>0</v>
      </c>
      <c r="N17" s="27">
        <v>1</v>
      </c>
      <c r="O17" s="264">
        <v>0</v>
      </c>
    </row>
    <row r="18" spans="1:15" ht="12.75">
      <c r="A18" s="93">
        <v>16</v>
      </c>
      <c r="B18" s="91">
        <v>1828</v>
      </c>
      <c r="C18" s="254">
        <v>1</v>
      </c>
      <c r="D18" s="27">
        <v>53</v>
      </c>
      <c r="E18" s="255">
        <v>2.348</v>
      </c>
      <c r="F18" s="258">
        <v>1</v>
      </c>
      <c r="G18" s="256">
        <v>0</v>
      </c>
      <c r="H18" s="258">
        <v>0</v>
      </c>
      <c r="I18" s="256">
        <v>0</v>
      </c>
      <c r="J18" s="27">
        <v>0</v>
      </c>
      <c r="K18" s="254">
        <v>0</v>
      </c>
      <c r="L18" s="27">
        <v>1</v>
      </c>
      <c r="M18" s="254">
        <v>0</v>
      </c>
      <c r="N18" s="27">
        <v>1</v>
      </c>
      <c r="O18" s="264">
        <v>0</v>
      </c>
    </row>
    <row r="19" spans="1:15" ht="12.75">
      <c r="A19" s="93">
        <v>17</v>
      </c>
      <c r="B19" s="91">
        <v>544</v>
      </c>
      <c r="C19" s="254">
        <v>1</v>
      </c>
      <c r="D19" s="27">
        <v>56</v>
      </c>
      <c r="E19" s="255">
        <v>3.36</v>
      </c>
      <c r="F19" s="258">
        <v>0</v>
      </c>
      <c r="G19" s="256">
        <v>1</v>
      </c>
      <c r="H19" s="258">
        <v>0</v>
      </c>
      <c r="I19" s="256">
        <v>0</v>
      </c>
      <c r="J19" s="27">
        <v>0</v>
      </c>
      <c r="K19" s="254">
        <v>1</v>
      </c>
      <c r="L19" s="27">
        <v>0</v>
      </c>
      <c r="M19" s="254">
        <v>1</v>
      </c>
      <c r="N19" s="27">
        <v>0</v>
      </c>
      <c r="O19" s="264">
        <v>0</v>
      </c>
    </row>
    <row r="20" spans="1:15" ht="12.75">
      <c r="A20" s="93">
        <v>18</v>
      </c>
      <c r="B20" s="91">
        <v>3626</v>
      </c>
      <c r="C20" s="254">
        <v>1</v>
      </c>
      <c r="D20" s="27">
        <v>54</v>
      </c>
      <c r="E20" s="255">
        <v>3.394</v>
      </c>
      <c r="F20" s="258">
        <v>0</v>
      </c>
      <c r="G20" s="256">
        <v>0</v>
      </c>
      <c r="H20" s="258">
        <v>1</v>
      </c>
      <c r="I20" s="256">
        <v>0</v>
      </c>
      <c r="J20" s="27">
        <v>0</v>
      </c>
      <c r="K20" s="254">
        <v>1</v>
      </c>
      <c r="L20" s="27">
        <v>0</v>
      </c>
      <c r="M20" s="254">
        <v>1</v>
      </c>
      <c r="N20" s="27">
        <v>0</v>
      </c>
      <c r="O20" s="264">
        <v>0</v>
      </c>
    </row>
    <row r="21" spans="1:15" ht="12.75">
      <c r="A21" s="93">
        <v>19</v>
      </c>
      <c r="B21" s="91">
        <v>3381</v>
      </c>
      <c r="C21" s="254">
        <v>1</v>
      </c>
      <c r="D21" s="27">
        <v>54</v>
      </c>
      <c r="E21" s="255">
        <v>3.779</v>
      </c>
      <c r="F21" s="258">
        <v>0</v>
      </c>
      <c r="G21" s="256">
        <v>0</v>
      </c>
      <c r="H21" s="258">
        <v>0</v>
      </c>
      <c r="I21" s="256">
        <v>1</v>
      </c>
      <c r="J21" s="27">
        <v>0</v>
      </c>
      <c r="K21" s="254">
        <v>1</v>
      </c>
      <c r="L21" s="27">
        <v>0</v>
      </c>
      <c r="M21" s="254">
        <v>0</v>
      </c>
      <c r="N21" s="27">
        <v>1</v>
      </c>
      <c r="O21" s="264">
        <v>0</v>
      </c>
    </row>
    <row r="22" spans="1:15" ht="12.75">
      <c r="A22" s="93">
        <v>20</v>
      </c>
      <c r="B22" s="91">
        <v>1207</v>
      </c>
      <c r="C22" s="254">
        <v>1</v>
      </c>
      <c r="D22" s="27">
        <v>54</v>
      </c>
      <c r="E22" s="255">
        <v>3.751</v>
      </c>
      <c r="F22" s="258">
        <v>0</v>
      </c>
      <c r="G22" s="256">
        <v>0</v>
      </c>
      <c r="H22" s="258">
        <v>1</v>
      </c>
      <c r="I22" s="256">
        <v>0</v>
      </c>
      <c r="J22" s="27">
        <v>0</v>
      </c>
      <c r="K22" s="254">
        <v>1</v>
      </c>
      <c r="L22" s="27">
        <v>0</v>
      </c>
      <c r="M22" s="254">
        <v>0</v>
      </c>
      <c r="N22" s="27">
        <v>1</v>
      </c>
      <c r="O22" s="264">
        <v>0</v>
      </c>
    </row>
    <row r="23" spans="1:15" ht="12.75">
      <c r="A23" s="93">
        <v>21</v>
      </c>
      <c r="B23" s="91">
        <v>4584</v>
      </c>
      <c r="C23" s="254">
        <v>1</v>
      </c>
      <c r="D23" s="27">
        <v>52</v>
      </c>
      <c r="E23" s="255">
        <v>4.313</v>
      </c>
      <c r="F23" s="258">
        <v>0</v>
      </c>
      <c r="G23" s="256">
        <v>0</v>
      </c>
      <c r="H23" s="258">
        <v>0</v>
      </c>
      <c r="I23" s="256">
        <v>1</v>
      </c>
      <c r="J23" s="27">
        <v>0</v>
      </c>
      <c r="K23" s="254">
        <v>1</v>
      </c>
      <c r="L23" s="27">
        <v>0</v>
      </c>
      <c r="M23" s="254">
        <v>0</v>
      </c>
      <c r="N23" s="27">
        <v>1</v>
      </c>
      <c r="O23" s="264">
        <v>0</v>
      </c>
    </row>
    <row r="24" spans="1:15" ht="12.75">
      <c r="A24" s="93">
        <v>22</v>
      </c>
      <c r="B24" s="91">
        <v>1428</v>
      </c>
      <c r="C24" s="254">
        <v>1</v>
      </c>
      <c r="D24" s="27">
        <v>53</v>
      </c>
      <c r="E24" s="255">
        <v>2.399</v>
      </c>
      <c r="F24" s="258">
        <v>1</v>
      </c>
      <c r="G24" s="256">
        <v>0</v>
      </c>
      <c r="H24" s="258">
        <v>0</v>
      </c>
      <c r="I24" s="256">
        <v>0</v>
      </c>
      <c r="J24" s="27">
        <v>1</v>
      </c>
      <c r="K24" s="254">
        <v>0</v>
      </c>
      <c r="L24" s="27">
        <v>0</v>
      </c>
      <c r="M24" s="254">
        <v>1</v>
      </c>
      <c r="N24" s="27">
        <v>0</v>
      </c>
      <c r="O24" s="264">
        <v>0</v>
      </c>
    </row>
    <row r="25" spans="1:15" ht="12.75">
      <c r="A25" s="93">
        <v>23</v>
      </c>
      <c r="B25" s="91">
        <v>996</v>
      </c>
      <c r="C25" s="254">
        <v>0</v>
      </c>
      <c r="D25" s="27">
        <v>53</v>
      </c>
      <c r="E25" s="255">
        <v>4.243</v>
      </c>
      <c r="F25" s="258">
        <v>0</v>
      </c>
      <c r="G25" s="256">
        <v>0</v>
      </c>
      <c r="H25" s="258">
        <v>0</v>
      </c>
      <c r="I25" s="256">
        <v>1</v>
      </c>
      <c r="J25" s="27">
        <v>0</v>
      </c>
      <c r="K25" s="254">
        <v>0</v>
      </c>
      <c r="L25" s="27">
        <v>1</v>
      </c>
      <c r="M25" s="254">
        <v>0</v>
      </c>
      <c r="N25" s="27">
        <v>1</v>
      </c>
      <c r="O25" s="264">
        <v>0</v>
      </c>
    </row>
    <row r="26" spans="1:15" ht="12.75">
      <c r="A26" s="93">
        <v>24</v>
      </c>
      <c r="B26" s="91">
        <v>212</v>
      </c>
      <c r="C26" s="254">
        <v>1</v>
      </c>
      <c r="D26" s="27">
        <v>51</v>
      </c>
      <c r="E26" s="255">
        <v>3.301</v>
      </c>
      <c r="F26" s="258">
        <v>0</v>
      </c>
      <c r="G26" s="256">
        <v>1</v>
      </c>
      <c r="H26" s="258">
        <v>0</v>
      </c>
      <c r="I26" s="256">
        <v>0</v>
      </c>
      <c r="J26" s="27">
        <v>0</v>
      </c>
      <c r="K26" s="254">
        <v>1</v>
      </c>
      <c r="L26" s="27">
        <v>0</v>
      </c>
      <c r="M26" s="254">
        <v>1</v>
      </c>
      <c r="N26" s="27">
        <v>0</v>
      </c>
      <c r="O26" s="264">
        <v>0</v>
      </c>
    </row>
    <row r="27" spans="1:15" ht="12.75">
      <c r="A27" s="93">
        <v>25</v>
      </c>
      <c r="B27" s="91">
        <v>2375</v>
      </c>
      <c r="C27" s="254">
        <v>0</v>
      </c>
      <c r="D27" s="27">
        <v>51</v>
      </c>
      <c r="E27" s="255">
        <v>2.105</v>
      </c>
      <c r="F27" s="258">
        <v>1</v>
      </c>
      <c r="G27" s="256">
        <v>0</v>
      </c>
      <c r="H27" s="258">
        <v>0</v>
      </c>
      <c r="I27" s="256">
        <v>0</v>
      </c>
      <c r="J27" s="27">
        <v>0</v>
      </c>
      <c r="K27" s="254">
        <v>1</v>
      </c>
      <c r="L27" s="27">
        <v>0</v>
      </c>
      <c r="M27" s="254">
        <v>0</v>
      </c>
      <c r="N27" s="27">
        <v>1</v>
      </c>
      <c r="O27" s="264">
        <v>0</v>
      </c>
    </row>
    <row r="28" spans="1:15" ht="12.75">
      <c r="A28" s="93">
        <v>26</v>
      </c>
      <c r="B28" s="91">
        <v>1485</v>
      </c>
      <c r="C28" s="254">
        <v>1</v>
      </c>
      <c r="D28" s="27">
        <v>54</v>
      </c>
      <c r="E28" s="255">
        <v>3.464</v>
      </c>
      <c r="F28" s="258">
        <v>0</v>
      </c>
      <c r="G28" s="256">
        <v>1</v>
      </c>
      <c r="H28" s="258">
        <v>0</v>
      </c>
      <c r="I28" s="256">
        <v>0</v>
      </c>
      <c r="J28" s="27">
        <v>0</v>
      </c>
      <c r="K28" s="254">
        <v>1</v>
      </c>
      <c r="L28" s="27">
        <v>0</v>
      </c>
      <c r="M28" s="254">
        <v>0</v>
      </c>
      <c r="N28" s="27">
        <v>1</v>
      </c>
      <c r="O28" s="264">
        <v>0</v>
      </c>
    </row>
    <row r="29" spans="1:15" ht="12.75">
      <c r="A29" s="93">
        <v>27</v>
      </c>
      <c r="B29" s="91">
        <v>853</v>
      </c>
      <c r="C29" s="254">
        <v>1</v>
      </c>
      <c r="D29" s="27">
        <v>56</v>
      </c>
      <c r="E29" s="255">
        <v>3.341</v>
      </c>
      <c r="F29" s="258">
        <v>0</v>
      </c>
      <c r="G29" s="256">
        <v>1</v>
      </c>
      <c r="H29" s="258">
        <v>0</v>
      </c>
      <c r="I29" s="256">
        <v>0</v>
      </c>
      <c r="J29" s="27">
        <v>0</v>
      </c>
      <c r="K29" s="254">
        <v>1</v>
      </c>
      <c r="L29" s="27">
        <v>0</v>
      </c>
      <c r="M29" s="254">
        <v>0</v>
      </c>
      <c r="N29" s="27">
        <v>1</v>
      </c>
      <c r="O29" s="264">
        <v>0</v>
      </c>
    </row>
    <row r="30" spans="1:15" ht="12.75">
      <c r="A30" s="93">
        <v>28</v>
      </c>
      <c r="B30" s="91">
        <v>2612</v>
      </c>
      <c r="C30" s="254">
        <v>0</v>
      </c>
      <c r="D30" s="27">
        <v>52</v>
      </c>
      <c r="E30" s="255">
        <v>3.242</v>
      </c>
      <c r="F30" s="258">
        <v>0</v>
      </c>
      <c r="G30" s="256">
        <v>1</v>
      </c>
      <c r="H30" s="258">
        <v>0</v>
      </c>
      <c r="I30" s="256">
        <v>0</v>
      </c>
      <c r="J30" s="27">
        <v>0</v>
      </c>
      <c r="K30" s="254">
        <v>1</v>
      </c>
      <c r="L30" s="27">
        <v>0</v>
      </c>
      <c r="M30" s="254">
        <v>0</v>
      </c>
      <c r="N30" s="27">
        <v>1</v>
      </c>
      <c r="O30" s="264">
        <v>0</v>
      </c>
    </row>
    <row r="31" spans="1:15" ht="12.75">
      <c r="A31" s="93">
        <v>29</v>
      </c>
      <c r="B31" s="91">
        <v>3959</v>
      </c>
      <c r="C31" s="254">
        <v>1</v>
      </c>
      <c r="D31" s="27">
        <v>54</v>
      </c>
      <c r="E31" s="255">
        <v>3.216</v>
      </c>
      <c r="F31" s="258">
        <v>0</v>
      </c>
      <c r="G31" s="256">
        <v>1</v>
      </c>
      <c r="H31" s="258">
        <v>0</v>
      </c>
      <c r="I31" s="256">
        <v>0</v>
      </c>
      <c r="J31" s="27">
        <v>0</v>
      </c>
      <c r="K31" s="254">
        <v>1</v>
      </c>
      <c r="L31" s="27">
        <v>0</v>
      </c>
      <c r="M31" s="254">
        <v>1</v>
      </c>
      <c r="N31" s="27">
        <v>0</v>
      </c>
      <c r="O31" s="264">
        <v>0</v>
      </c>
    </row>
    <row r="32" spans="1:15" ht="12.75">
      <c r="A32" s="93">
        <v>30</v>
      </c>
      <c r="B32" s="91">
        <v>1808</v>
      </c>
      <c r="C32" s="254">
        <v>1</v>
      </c>
      <c r="D32" s="27">
        <v>53</v>
      </c>
      <c r="E32" s="255">
        <v>3.127</v>
      </c>
      <c r="F32" s="258">
        <v>0</v>
      </c>
      <c r="G32" s="256">
        <v>1</v>
      </c>
      <c r="H32" s="258">
        <v>0</v>
      </c>
      <c r="I32" s="256">
        <v>0</v>
      </c>
      <c r="J32" s="27">
        <v>0</v>
      </c>
      <c r="K32" s="254">
        <v>1</v>
      </c>
      <c r="L32" s="27">
        <v>0</v>
      </c>
      <c r="M32" s="254">
        <v>1</v>
      </c>
      <c r="N32" s="27">
        <v>0</v>
      </c>
      <c r="O32" s="264">
        <v>0</v>
      </c>
    </row>
    <row r="33" spans="1:15" ht="12.75">
      <c r="A33" s="93">
        <v>31</v>
      </c>
      <c r="B33" s="115">
        <v>3776</v>
      </c>
      <c r="C33" s="254">
        <v>1</v>
      </c>
      <c r="D33" s="27">
        <v>56</v>
      </c>
      <c r="E33" s="255">
        <v>4.469</v>
      </c>
      <c r="F33" s="258">
        <v>0</v>
      </c>
      <c r="G33" s="256">
        <v>0</v>
      </c>
      <c r="H33" s="258">
        <v>0</v>
      </c>
      <c r="I33" s="256">
        <v>1</v>
      </c>
      <c r="J33" s="27">
        <v>0</v>
      </c>
      <c r="K33" s="254">
        <v>1</v>
      </c>
      <c r="L33" s="27">
        <v>0</v>
      </c>
      <c r="M33" s="254">
        <v>0</v>
      </c>
      <c r="N33" s="27">
        <v>1</v>
      </c>
      <c r="O33" s="264">
        <v>0</v>
      </c>
    </row>
    <row r="34" spans="1:15" ht="12.75">
      <c r="A34" s="93">
        <v>32</v>
      </c>
      <c r="B34" s="115">
        <v>854</v>
      </c>
      <c r="C34" s="254">
        <v>0</v>
      </c>
      <c r="D34" s="27">
        <v>53</v>
      </c>
      <c r="E34" s="255">
        <v>3.057</v>
      </c>
      <c r="F34" s="258">
        <v>1</v>
      </c>
      <c r="G34" s="256">
        <v>0</v>
      </c>
      <c r="H34" s="258">
        <v>0</v>
      </c>
      <c r="I34" s="256">
        <v>0</v>
      </c>
      <c r="J34" s="27">
        <v>0</v>
      </c>
      <c r="K34" s="254">
        <v>1</v>
      </c>
      <c r="L34" s="27">
        <v>0</v>
      </c>
      <c r="M34" s="254">
        <v>1</v>
      </c>
      <c r="N34" s="27">
        <v>0</v>
      </c>
      <c r="O34" s="264">
        <v>0</v>
      </c>
    </row>
    <row r="35" spans="1:15" ht="12.75">
      <c r="A35" s="93">
        <v>33</v>
      </c>
      <c r="B35" s="115">
        <v>3950</v>
      </c>
      <c r="C35" s="254">
        <v>1</v>
      </c>
      <c r="D35" s="27">
        <v>55</v>
      </c>
      <c r="E35" s="255">
        <v>3.524</v>
      </c>
      <c r="F35" s="258">
        <v>0</v>
      </c>
      <c r="G35" s="256">
        <v>0</v>
      </c>
      <c r="H35" s="258">
        <v>1</v>
      </c>
      <c r="I35" s="256">
        <v>0</v>
      </c>
      <c r="J35" s="27">
        <v>0</v>
      </c>
      <c r="K35" s="254">
        <v>1</v>
      </c>
      <c r="L35" s="27">
        <v>0</v>
      </c>
      <c r="M35" s="254">
        <v>1</v>
      </c>
      <c r="N35" s="27">
        <v>0</v>
      </c>
      <c r="O35" s="264">
        <v>0</v>
      </c>
    </row>
    <row r="36" spans="1:15" ht="12.75">
      <c r="A36" s="93">
        <v>34</v>
      </c>
      <c r="B36" s="115">
        <v>3476</v>
      </c>
      <c r="C36" s="254">
        <v>1</v>
      </c>
      <c r="D36" s="27">
        <v>55</v>
      </c>
      <c r="E36" s="255">
        <v>3.65</v>
      </c>
      <c r="F36" s="258">
        <v>0</v>
      </c>
      <c r="G36" s="256">
        <v>0</v>
      </c>
      <c r="H36" s="258">
        <v>1</v>
      </c>
      <c r="I36" s="256">
        <v>0</v>
      </c>
      <c r="J36" s="27">
        <v>0</v>
      </c>
      <c r="K36" s="254">
        <v>1</v>
      </c>
      <c r="L36" s="27">
        <v>0</v>
      </c>
      <c r="M36" s="254">
        <v>0</v>
      </c>
      <c r="N36" s="27">
        <v>0</v>
      </c>
      <c r="O36" s="264">
        <v>1</v>
      </c>
    </row>
    <row r="37" spans="1:15" ht="12.75">
      <c r="A37" s="93">
        <v>35</v>
      </c>
      <c r="B37" s="115">
        <v>3106</v>
      </c>
      <c r="C37" s="254">
        <v>0</v>
      </c>
      <c r="D37" s="27">
        <v>56</v>
      </c>
      <c r="E37" s="255">
        <v>3.449</v>
      </c>
      <c r="F37" s="258">
        <v>0</v>
      </c>
      <c r="G37" s="256">
        <v>0</v>
      </c>
      <c r="H37" s="258">
        <v>1</v>
      </c>
      <c r="I37" s="256">
        <v>0</v>
      </c>
      <c r="J37" s="27">
        <v>0</v>
      </c>
      <c r="K37" s="254">
        <v>1</v>
      </c>
      <c r="L37" s="27">
        <v>0</v>
      </c>
      <c r="M37" s="254">
        <v>0</v>
      </c>
      <c r="N37" s="27">
        <v>1</v>
      </c>
      <c r="O37" s="264">
        <v>0</v>
      </c>
    </row>
    <row r="38" spans="1:15" ht="12.75">
      <c r="A38" s="93">
        <v>36</v>
      </c>
      <c r="B38" s="115">
        <v>2462</v>
      </c>
      <c r="C38" s="254">
        <v>1</v>
      </c>
      <c r="D38" s="27">
        <v>53</v>
      </c>
      <c r="E38" s="255">
        <v>2.097</v>
      </c>
      <c r="F38" s="258">
        <v>1</v>
      </c>
      <c r="G38" s="256">
        <v>0</v>
      </c>
      <c r="H38" s="258">
        <v>0</v>
      </c>
      <c r="I38" s="256">
        <v>0</v>
      </c>
      <c r="J38" s="27">
        <v>0</v>
      </c>
      <c r="K38" s="254">
        <v>1</v>
      </c>
      <c r="L38" s="27">
        <v>0</v>
      </c>
      <c r="M38" s="254">
        <v>0</v>
      </c>
      <c r="N38" s="27">
        <v>1</v>
      </c>
      <c r="O38" s="264">
        <v>0</v>
      </c>
    </row>
    <row r="39" spans="1:15" ht="12.75">
      <c r="A39" s="93">
        <v>37</v>
      </c>
      <c r="B39" s="115">
        <v>887</v>
      </c>
      <c r="C39" s="254">
        <v>0</v>
      </c>
      <c r="D39" s="27">
        <v>55</v>
      </c>
      <c r="E39" s="255">
        <v>3.553</v>
      </c>
      <c r="F39" s="258">
        <v>0</v>
      </c>
      <c r="G39" s="256">
        <v>0</v>
      </c>
      <c r="H39" s="258">
        <v>1</v>
      </c>
      <c r="I39" s="256">
        <v>0</v>
      </c>
      <c r="J39" s="27">
        <v>0</v>
      </c>
      <c r="K39" s="254">
        <v>1</v>
      </c>
      <c r="L39" s="27">
        <v>0</v>
      </c>
      <c r="M39" s="254">
        <v>0</v>
      </c>
      <c r="N39" s="27">
        <v>1</v>
      </c>
      <c r="O39" s="264">
        <v>0</v>
      </c>
    </row>
    <row r="40" spans="1:15" ht="12.75">
      <c r="A40" s="93">
        <v>38</v>
      </c>
      <c r="B40" s="115">
        <v>4540</v>
      </c>
      <c r="C40" s="254">
        <v>0</v>
      </c>
      <c r="D40" s="27">
        <v>54</v>
      </c>
      <c r="E40" s="255">
        <v>4.173</v>
      </c>
      <c r="F40" s="258">
        <v>0</v>
      </c>
      <c r="G40" s="256">
        <v>0</v>
      </c>
      <c r="H40" s="258">
        <v>0</v>
      </c>
      <c r="I40" s="256">
        <v>1</v>
      </c>
      <c r="J40" s="27">
        <v>0</v>
      </c>
      <c r="K40" s="254">
        <v>0</v>
      </c>
      <c r="L40" s="27">
        <v>1</v>
      </c>
      <c r="M40" s="254">
        <v>0</v>
      </c>
      <c r="N40" s="27">
        <v>1</v>
      </c>
      <c r="O40" s="264">
        <v>0</v>
      </c>
    </row>
    <row r="41" spans="1:15" ht="12.75">
      <c r="A41" s="93">
        <v>39</v>
      </c>
      <c r="B41" s="115">
        <v>2810</v>
      </c>
      <c r="C41" s="254">
        <v>0</v>
      </c>
      <c r="D41" s="27">
        <v>53</v>
      </c>
      <c r="E41" s="255">
        <v>3.337</v>
      </c>
      <c r="F41" s="258">
        <v>0</v>
      </c>
      <c r="G41" s="256">
        <v>1</v>
      </c>
      <c r="H41" s="258">
        <v>0</v>
      </c>
      <c r="I41" s="256">
        <v>0</v>
      </c>
      <c r="J41" s="27">
        <v>0</v>
      </c>
      <c r="K41" s="254">
        <v>1</v>
      </c>
      <c r="L41" s="27">
        <v>0</v>
      </c>
      <c r="M41" s="254">
        <v>0</v>
      </c>
      <c r="N41" s="27">
        <v>0</v>
      </c>
      <c r="O41" s="264">
        <v>1</v>
      </c>
    </row>
    <row r="42" spans="1:15" ht="12.75">
      <c r="A42" s="93">
        <v>40</v>
      </c>
      <c r="B42" s="115">
        <v>3156</v>
      </c>
      <c r="C42" s="254">
        <v>0</v>
      </c>
      <c r="D42" s="27">
        <v>53</v>
      </c>
      <c r="E42" s="255">
        <v>3.747</v>
      </c>
      <c r="F42" s="258">
        <v>0</v>
      </c>
      <c r="G42" s="256">
        <v>0</v>
      </c>
      <c r="H42" s="258">
        <v>1</v>
      </c>
      <c r="I42" s="256">
        <v>0</v>
      </c>
      <c r="J42" s="27">
        <v>0</v>
      </c>
      <c r="K42" s="254">
        <v>1</v>
      </c>
      <c r="L42" s="27">
        <v>0</v>
      </c>
      <c r="M42" s="254">
        <v>0</v>
      </c>
      <c r="N42" s="27">
        <v>1</v>
      </c>
      <c r="O42" s="264">
        <v>0</v>
      </c>
    </row>
    <row r="43" spans="1:15" ht="12.75">
      <c r="A43" s="93">
        <v>41</v>
      </c>
      <c r="B43" s="115">
        <v>3147</v>
      </c>
      <c r="C43" s="254">
        <v>0</v>
      </c>
      <c r="D43" s="27">
        <v>52</v>
      </c>
      <c r="E43" s="255">
        <v>2.393</v>
      </c>
      <c r="F43" s="258">
        <v>1</v>
      </c>
      <c r="G43" s="256">
        <v>0</v>
      </c>
      <c r="H43" s="258">
        <v>0</v>
      </c>
      <c r="I43" s="256">
        <v>0</v>
      </c>
      <c r="J43" s="27">
        <v>0</v>
      </c>
      <c r="K43" s="254">
        <v>1</v>
      </c>
      <c r="L43" s="27">
        <v>0</v>
      </c>
      <c r="M43" s="254">
        <v>0</v>
      </c>
      <c r="N43" s="27">
        <v>0</v>
      </c>
      <c r="O43" s="264">
        <v>1</v>
      </c>
    </row>
    <row r="44" spans="1:15" ht="12.75">
      <c r="A44" s="93">
        <v>42</v>
      </c>
      <c r="B44" s="115">
        <v>3632</v>
      </c>
      <c r="C44" s="254">
        <v>1</v>
      </c>
      <c r="D44" s="27">
        <v>54</v>
      </c>
      <c r="E44" s="255">
        <v>3.468</v>
      </c>
      <c r="F44" s="258">
        <v>0</v>
      </c>
      <c r="G44" s="256">
        <v>1</v>
      </c>
      <c r="H44" s="258">
        <v>0</v>
      </c>
      <c r="I44" s="256">
        <v>0</v>
      </c>
      <c r="J44" s="27">
        <v>0</v>
      </c>
      <c r="K44" s="254">
        <v>1</v>
      </c>
      <c r="L44" s="27">
        <v>0</v>
      </c>
      <c r="M44" s="254">
        <v>1</v>
      </c>
      <c r="N44" s="27">
        <v>0</v>
      </c>
      <c r="O44" s="264">
        <v>0</v>
      </c>
    </row>
    <row r="45" spans="1:15" ht="12.75">
      <c r="A45" s="93">
        <v>43</v>
      </c>
      <c r="B45" s="115">
        <v>2278</v>
      </c>
      <c r="C45" s="254">
        <v>1</v>
      </c>
      <c r="D45" s="27">
        <v>55</v>
      </c>
      <c r="E45" s="255">
        <v>3.654</v>
      </c>
      <c r="F45" s="258">
        <v>0</v>
      </c>
      <c r="G45" s="256">
        <v>0</v>
      </c>
      <c r="H45" s="258">
        <v>1</v>
      </c>
      <c r="I45" s="256">
        <v>0</v>
      </c>
      <c r="J45" s="27">
        <v>0</v>
      </c>
      <c r="K45" s="254">
        <v>0</v>
      </c>
      <c r="L45" s="27">
        <v>1</v>
      </c>
      <c r="M45" s="254">
        <v>0</v>
      </c>
      <c r="N45" s="27">
        <v>0</v>
      </c>
      <c r="O45" s="264">
        <v>1</v>
      </c>
    </row>
    <row r="46" spans="1:15" ht="12.75">
      <c r="A46" s="93">
        <v>44</v>
      </c>
      <c r="B46" s="115">
        <v>750</v>
      </c>
      <c r="C46" s="254">
        <v>0</v>
      </c>
      <c r="D46" s="27">
        <v>53</v>
      </c>
      <c r="E46" s="255">
        <v>3.231</v>
      </c>
      <c r="F46" s="258">
        <v>0</v>
      </c>
      <c r="G46" s="256">
        <v>1</v>
      </c>
      <c r="H46" s="258">
        <v>0</v>
      </c>
      <c r="I46" s="256">
        <v>0</v>
      </c>
      <c r="J46" s="27">
        <v>0</v>
      </c>
      <c r="K46" s="254">
        <v>0</v>
      </c>
      <c r="L46" s="27">
        <v>1</v>
      </c>
      <c r="M46" s="254">
        <v>0</v>
      </c>
      <c r="N46" s="27">
        <v>1</v>
      </c>
      <c r="O46" s="264">
        <v>0</v>
      </c>
    </row>
    <row r="47" spans="1:15" ht="12.75">
      <c r="A47" s="93">
        <v>45</v>
      </c>
      <c r="B47" s="115">
        <v>3149</v>
      </c>
      <c r="C47" s="254">
        <v>1</v>
      </c>
      <c r="D47" s="27">
        <v>54</v>
      </c>
      <c r="E47" s="255">
        <v>3.541</v>
      </c>
      <c r="F47" s="258">
        <v>0</v>
      </c>
      <c r="G47" s="256">
        <v>0</v>
      </c>
      <c r="H47" s="258">
        <v>1</v>
      </c>
      <c r="I47" s="256">
        <v>0</v>
      </c>
      <c r="J47" s="27">
        <v>0</v>
      </c>
      <c r="K47" s="254">
        <v>1</v>
      </c>
      <c r="L47" s="27">
        <v>0</v>
      </c>
      <c r="M47" s="254">
        <v>0</v>
      </c>
      <c r="N47" s="27">
        <v>0</v>
      </c>
      <c r="O47" s="264">
        <v>1</v>
      </c>
    </row>
    <row r="48" spans="1:15" ht="12.75">
      <c r="A48" s="93">
        <v>46</v>
      </c>
      <c r="B48" s="115">
        <v>1478</v>
      </c>
      <c r="C48" s="254">
        <v>0</v>
      </c>
      <c r="D48" s="27">
        <v>54</v>
      </c>
      <c r="E48" s="255">
        <v>3.593</v>
      </c>
      <c r="F48" s="258">
        <v>0</v>
      </c>
      <c r="G48" s="256">
        <v>0</v>
      </c>
      <c r="H48" s="258">
        <v>1</v>
      </c>
      <c r="I48" s="256">
        <v>0</v>
      </c>
      <c r="J48" s="27">
        <v>1</v>
      </c>
      <c r="K48" s="254">
        <v>0</v>
      </c>
      <c r="L48" s="27">
        <v>0</v>
      </c>
      <c r="M48" s="254">
        <v>1</v>
      </c>
      <c r="N48" s="27">
        <v>0</v>
      </c>
      <c r="O48" s="264">
        <v>0</v>
      </c>
    </row>
    <row r="49" spans="1:15" ht="12.75">
      <c r="A49" s="93">
        <v>47</v>
      </c>
      <c r="B49" s="115">
        <v>3849</v>
      </c>
      <c r="C49" s="254">
        <v>1</v>
      </c>
      <c r="D49" s="27">
        <v>55</v>
      </c>
      <c r="E49" s="255">
        <v>3.001</v>
      </c>
      <c r="F49" s="258">
        <v>0</v>
      </c>
      <c r="G49" s="256">
        <v>1</v>
      </c>
      <c r="H49" s="258">
        <v>0</v>
      </c>
      <c r="I49" s="256">
        <v>0</v>
      </c>
      <c r="J49" s="27">
        <v>1</v>
      </c>
      <c r="K49" s="254">
        <v>0</v>
      </c>
      <c r="L49" s="27">
        <v>0</v>
      </c>
      <c r="M49" s="254">
        <v>1</v>
      </c>
      <c r="N49" s="27">
        <v>0</v>
      </c>
      <c r="O49" s="264">
        <v>0</v>
      </c>
    </row>
    <row r="50" spans="1:15" ht="12.75">
      <c r="A50" s="93">
        <v>48</v>
      </c>
      <c r="B50" s="115">
        <v>1169</v>
      </c>
      <c r="C50" s="254">
        <v>1</v>
      </c>
      <c r="D50" s="27">
        <v>55</v>
      </c>
      <c r="E50" s="255">
        <v>3.841</v>
      </c>
      <c r="F50" s="258">
        <v>0</v>
      </c>
      <c r="G50" s="256">
        <v>0</v>
      </c>
      <c r="H50" s="258">
        <v>0</v>
      </c>
      <c r="I50" s="256">
        <v>1</v>
      </c>
      <c r="J50" s="27">
        <v>0</v>
      </c>
      <c r="K50" s="254">
        <v>0</v>
      </c>
      <c r="L50" s="27">
        <v>1</v>
      </c>
      <c r="M50" s="254">
        <v>0</v>
      </c>
      <c r="N50" s="27">
        <v>0</v>
      </c>
      <c r="O50" s="264">
        <v>1</v>
      </c>
    </row>
    <row r="51" spans="1:15" ht="12.75">
      <c r="A51" s="93">
        <v>49</v>
      </c>
      <c r="B51" s="115">
        <v>1830</v>
      </c>
      <c r="C51" s="254">
        <v>0</v>
      </c>
      <c r="D51" s="27">
        <v>52</v>
      </c>
      <c r="E51" s="255">
        <v>3.268</v>
      </c>
      <c r="F51" s="258">
        <v>0</v>
      </c>
      <c r="G51" s="256">
        <v>1</v>
      </c>
      <c r="H51" s="258">
        <v>0</v>
      </c>
      <c r="I51" s="256">
        <v>0</v>
      </c>
      <c r="J51" s="27">
        <v>1</v>
      </c>
      <c r="K51" s="254">
        <v>0</v>
      </c>
      <c r="L51" s="27">
        <v>0</v>
      </c>
      <c r="M51" s="254">
        <v>1</v>
      </c>
      <c r="N51" s="27">
        <v>0</v>
      </c>
      <c r="O51" s="264">
        <v>0</v>
      </c>
    </row>
    <row r="52" spans="1:15" ht="12.75">
      <c r="A52" s="93">
        <v>50</v>
      </c>
      <c r="B52" s="115">
        <v>3727</v>
      </c>
      <c r="C52" s="254">
        <v>0</v>
      </c>
      <c r="D52" s="27">
        <v>52</v>
      </c>
      <c r="E52" s="255">
        <v>3.753</v>
      </c>
      <c r="F52" s="258">
        <v>0</v>
      </c>
      <c r="G52" s="256">
        <v>0</v>
      </c>
      <c r="H52" s="258">
        <v>1</v>
      </c>
      <c r="I52" s="256">
        <v>0</v>
      </c>
      <c r="J52" s="27">
        <v>0</v>
      </c>
      <c r="K52" s="254">
        <v>1</v>
      </c>
      <c r="L52" s="27">
        <v>0</v>
      </c>
      <c r="M52" s="254">
        <v>0</v>
      </c>
      <c r="N52" s="27">
        <v>1</v>
      </c>
      <c r="O52" s="264">
        <v>0</v>
      </c>
    </row>
    <row r="53" spans="1:15" ht="12.75">
      <c r="A53" s="93">
        <v>51</v>
      </c>
      <c r="B53" s="115">
        <v>3501</v>
      </c>
      <c r="C53" s="254">
        <v>0</v>
      </c>
      <c r="D53" s="27">
        <v>53</v>
      </c>
      <c r="E53" s="255">
        <v>2.989</v>
      </c>
      <c r="F53" s="258">
        <v>1</v>
      </c>
      <c r="G53" s="256">
        <v>0</v>
      </c>
      <c r="H53" s="258">
        <v>0</v>
      </c>
      <c r="I53" s="256">
        <v>0</v>
      </c>
      <c r="J53" s="27">
        <v>0</v>
      </c>
      <c r="K53" s="254">
        <v>1</v>
      </c>
      <c r="L53" s="27">
        <v>0</v>
      </c>
      <c r="M53" s="254">
        <v>1</v>
      </c>
      <c r="N53" s="27">
        <v>0</v>
      </c>
      <c r="O53" s="264">
        <v>0</v>
      </c>
    </row>
    <row r="54" spans="1:15" ht="12.75">
      <c r="A54" s="93">
        <v>52</v>
      </c>
      <c r="B54" s="115">
        <v>980</v>
      </c>
      <c r="C54" s="254">
        <v>0</v>
      </c>
      <c r="D54" s="27">
        <v>52</v>
      </c>
      <c r="E54" s="255">
        <v>3.796</v>
      </c>
      <c r="F54" s="258">
        <v>0</v>
      </c>
      <c r="G54" s="256">
        <v>0</v>
      </c>
      <c r="H54" s="258">
        <v>1</v>
      </c>
      <c r="I54" s="256">
        <v>0</v>
      </c>
      <c r="J54" s="27">
        <v>0</v>
      </c>
      <c r="K54" s="254">
        <v>1</v>
      </c>
      <c r="L54" s="27">
        <v>0</v>
      </c>
      <c r="M54" s="254">
        <v>0</v>
      </c>
      <c r="N54" s="27">
        <v>1</v>
      </c>
      <c r="O54" s="264">
        <v>0</v>
      </c>
    </row>
    <row r="55" spans="1:15" ht="12.75">
      <c r="A55" s="93">
        <v>53</v>
      </c>
      <c r="B55" s="115">
        <v>4250</v>
      </c>
      <c r="C55" s="254">
        <v>0</v>
      </c>
      <c r="D55" s="27">
        <v>52</v>
      </c>
      <c r="E55" s="255">
        <v>2.18</v>
      </c>
      <c r="F55" s="258">
        <v>1</v>
      </c>
      <c r="G55" s="256">
        <v>0</v>
      </c>
      <c r="H55" s="258">
        <v>0</v>
      </c>
      <c r="I55" s="256">
        <v>0</v>
      </c>
      <c r="J55" s="27">
        <v>0</v>
      </c>
      <c r="K55" s="254">
        <v>1</v>
      </c>
      <c r="L55" s="27">
        <v>0</v>
      </c>
      <c r="M55" s="254">
        <v>1</v>
      </c>
      <c r="N55" s="27">
        <v>0</v>
      </c>
      <c r="O55" s="264">
        <v>0</v>
      </c>
    </row>
    <row r="56" spans="1:15" ht="12.75">
      <c r="A56" s="93">
        <v>54</v>
      </c>
      <c r="B56" s="115">
        <v>403</v>
      </c>
      <c r="C56" s="254">
        <v>0</v>
      </c>
      <c r="D56" s="27">
        <v>52</v>
      </c>
      <c r="E56" s="255">
        <v>4.091</v>
      </c>
      <c r="F56" s="258">
        <v>0</v>
      </c>
      <c r="G56" s="256">
        <v>0</v>
      </c>
      <c r="H56" s="258">
        <v>1</v>
      </c>
      <c r="I56" s="256">
        <v>0</v>
      </c>
      <c r="J56" s="27">
        <v>0</v>
      </c>
      <c r="K56" s="254">
        <v>1</v>
      </c>
      <c r="L56" s="27">
        <v>0</v>
      </c>
      <c r="M56" s="254">
        <v>0</v>
      </c>
      <c r="N56" s="27">
        <v>0</v>
      </c>
      <c r="O56" s="264">
        <v>1</v>
      </c>
    </row>
    <row r="57" spans="1:15" ht="12.75">
      <c r="A57" s="93">
        <v>55</v>
      </c>
      <c r="B57" s="115">
        <v>500</v>
      </c>
      <c r="C57" s="254">
        <v>0</v>
      </c>
      <c r="D57" s="27">
        <v>52</v>
      </c>
      <c r="E57" s="255">
        <v>3.558</v>
      </c>
      <c r="F57" s="258">
        <v>0</v>
      </c>
      <c r="G57" s="256">
        <v>0</v>
      </c>
      <c r="H57" s="258">
        <v>1</v>
      </c>
      <c r="I57" s="256">
        <v>0</v>
      </c>
      <c r="J57" s="27">
        <v>1</v>
      </c>
      <c r="K57" s="254">
        <v>0</v>
      </c>
      <c r="L57" s="27">
        <v>0</v>
      </c>
      <c r="M57" s="254">
        <v>1</v>
      </c>
      <c r="N57" s="27">
        <v>0</v>
      </c>
      <c r="O57" s="264">
        <v>0</v>
      </c>
    </row>
    <row r="58" spans="1:15" ht="12.75">
      <c r="A58" s="93">
        <v>56</v>
      </c>
      <c r="B58" s="115">
        <v>3049</v>
      </c>
      <c r="C58" s="254">
        <v>1</v>
      </c>
      <c r="D58" s="27">
        <v>54</v>
      </c>
      <c r="E58" s="255">
        <v>3.592</v>
      </c>
      <c r="F58" s="258">
        <v>0</v>
      </c>
      <c r="G58" s="256">
        <v>0</v>
      </c>
      <c r="H58" s="258">
        <v>1</v>
      </c>
      <c r="I58" s="256">
        <v>0</v>
      </c>
      <c r="J58" s="27">
        <v>0</v>
      </c>
      <c r="K58" s="254">
        <v>1</v>
      </c>
      <c r="L58" s="27">
        <v>0</v>
      </c>
      <c r="M58" s="254">
        <v>0</v>
      </c>
      <c r="N58" s="27">
        <v>0</v>
      </c>
      <c r="O58" s="264">
        <v>1</v>
      </c>
    </row>
    <row r="59" spans="1:15" ht="12.75">
      <c r="A59" s="93">
        <v>57</v>
      </c>
      <c r="B59" s="115">
        <v>1881</v>
      </c>
      <c r="C59" s="254">
        <v>0</v>
      </c>
      <c r="D59" s="27">
        <v>53</v>
      </c>
      <c r="E59" s="255">
        <v>3.281</v>
      </c>
      <c r="F59" s="258">
        <v>0</v>
      </c>
      <c r="G59" s="256">
        <v>1</v>
      </c>
      <c r="H59" s="258">
        <v>0</v>
      </c>
      <c r="I59" s="256">
        <v>0</v>
      </c>
      <c r="J59" s="27">
        <v>0</v>
      </c>
      <c r="K59" s="254">
        <v>1</v>
      </c>
      <c r="L59" s="27">
        <v>0</v>
      </c>
      <c r="M59" s="254">
        <v>0</v>
      </c>
      <c r="N59" s="27">
        <v>1</v>
      </c>
      <c r="O59" s="264">
        <v>0</v>
      </c>
    </row>
    <row r="60" spans="1:15" ht="12.75">
      <c r="A60" s="93">
        <v>58</v>
      </c>
      <c r="B60" s="115">
        <v>3975</v>
      </c>
      <c r="C60" s="254">
        <v>1</v>
      </c>
      <c r="D60" s="27">
        <v>52</v>
      </c>
      <c r="E60" s="255">
        <v>3.876</v>
      </c>
      <c r="F60" s="258">
        <v>0</v>
      </c>
      <c r="G60" s="256">
        <v>0</v>
      </c>
      <c r="H60" s="258">
        <v>0</v>
      </c>
      <c r="I60" s="256">
        <v>1</v>
      </c>
      <c r="J60" s="27">
        <v>0</v>
      </c>
      <c r="K60" s="254">
        <v>1</v>
      </c>
      <c r="L60" s="27">
        <v>0</v>
      </c>
      <c r="M60" s="254">
        <v>0</v>
      </c>
      <c r="N60" s="27">
        <v>1</v>
      </c>
      <c r="O60" s="264">
        <v>0</v>
      </c>
    </row>
    <row r="61" spans="1:15" ht="12.75">
      <c r="A61" s="93">
        <v>59</v>
      </c>
      <c r="B61" s="115">
        <v>4376</v>
      </c>
      <c r="C61" s="254">
        <v>0</v>
      </c>
      <c r="D61" s="27">
        <v>51</v>
      </c>
      <c r="E61" s="255">
        <v>3.504</v>
      </c>
      <c r="F61" s="258">
        <v>0</v>
      </c>
      <c r="G61" s="256">
        <v>0</v>
      </c>
      <c r="H61" s="258">
        <v>1</v>
      </c>
      <c r="I61" s="256">
        <v>0</v>
      </c>
      <c r="J61" s="27">
        <v>0</v>
      </c>
      <c r="K61" s="254">
        <v>1</v>
      </c>
      <c r="L61" s="27">
        <v>0</v>
      </c>
      <c r="M61" s="254">
        <v>0</v>
      </c>
      <c r="N61" s="27">
        <v>1</v>
      </c>
      <c r="O61" s="264">
        <v>0</v>
      </c>
    </row>
    <row r="62" spans="1:15" ht="12.75">
      <c r="A62" s="93">
        <v>60</v>
      </c>
      <c r="B62" s="115">
        <v>413</v>
      </c>
      <c r="C62" s="254">
        <v>0</v>
      </c>
      <c r="D62" s="27">
        <v>52</v>
      </c>
      <c r="E62" s="255">
        <v>4.362</v>
      </c>
      <c r="F62" s="258">
        <v>0</v>
      </c>
      <c r="G62" s="256">
        <v>0</v>
      </c>
      <c r="H62" s="258">
        <v>0</v>
      </c>
      <c r="I62" s="256">
        <v>1</v>
      </c>
      <c r="J62" s="27">
        <v>0</v>
      </c>
      <c r="K62" s="254">
        <v>1</v>
      </c>
      <c r="L62" s="27">
        <v>0</v>
      </c>
      <c r="M62" s="254">
        <v>1</v>
      </c>
      <c r="N62" s="27">
        <v>0</v>
      </c>
      <c r="O62" s="264">
        <v>0</v>
      </c>
    </row>
    <row r="63" spans="1:15" ht="12.75">
      <c r="A63" s="93">
        <v>61</v>
      </c>
      <c r="B63" s="115">
        <v>4101</v>
      </c>
      <c r="C63" s="254">
        <v>0</v>
      </c>
      <c r="D63" s="27">
        <v>52</v>
      </c>
      <c r="E63" s="255">
        <v>4.459</v>
      </c>
      <c r="F63" s="258">
        <v>0</v>
      </c>
      <c r="G63" s="256">
        <v>0</v>
      </c>
      <c r="H63" s="258">
        <v>0</v>
      </c>
      <c r="I63" s="256">
        <v>1</v>
      </c>
      <c r="J63" s="27">
        <v>0</v>
      </c>
      <c r="K63" s="254">
        <v>1</v>
      </c>
      <c r="L63" s="27">
        <v>0</v>
      </c>
      <c r="M63" s="254">
        <v>0</v>
      </c>
      <c r="N63" s="27">
        <v>0</v>
      </c>
      <c r="O63" s="264">
        <v>1</v>
      </c>
    </row>
    <row r="64" spans="1:15" ht="12.75">
      <c r="A64" s="93">
        <v>62</v>
      </c>
      <c r="B64" s="115">
        <v>4494</v>
      </c>
      <c r="C64" s="254">
        <v>0</v>
      </c>
      <c r="D64" s="27">
        <v>56</v>
      </c>
      <c r="E64" s="255">
        <v>3.374</v>
      </c>
      <c r="F64" s="258">
        <v>0</v>
      </c>
      <c r="G64" s="256">
        <v>0</v>
      </c>
      <c r="H64" s="258">
        <v>1</v>
      </c>
      <c r="I64" s="256">
        <v>0</v>
      </c>
      <c r="J64" s="27">
        <v>1</v>
      </c>
      <c r="K64" s="254">
        <v>0</v>
      </c>
      <c r="L64" s="27">
        <v>0</v>
      </c>
      <c r="M64" s="254">
        <v>1</v>
      </c>
      <c r="N64" s="27">
        <v>0</v>
      </c>
      <c r="O64" s="264">
        <v>0</v>
      </c>
    </row>
    <row r="65" spans="1:15" ht="12.75">
      <c r="A65" s="93">
        <v>63</v>
      </c>
      <c r="B65" s="115">
        <v>1536</v>
      </c>
      <c r="C65" s="254">
        <v>0</v>
      </c>
      <c r="D65" s="27">
        <v>52</v>
      </c>
      <c r="E65" s="255">
        <v>3.954</v>
      </c>
      <c r="F65" s="258">
        <v>0</v>
      </c>
      <c r="G65" s="256">
        <v>0</v>
      </c>
      <c r="H65" s="258">
        <v>0</v>
      </c>
      <c r="I65" s="256">
        <v>1</v>
      </c>
      <c r="J65" s="27">
        <v>0</v>
      </c>
      <c r="K65" s="254">
        <v>1</v>
      </c>
      <c r="L65" s="27">
        <v>0</v>
      </c>
      <c r="M65" s="254">
        <v>0</v>
      </c>
      <c r="N65" s="27">
        <v>1</v>
      </c>
      <c r="O65" s="264">
        <v>0</v>
      </c>
    </row>
    <row r="66" spans="1:15" ht="12.75">
      <c r="A66" s="93">
        <v>64</v>
      </c>
      <c r="B66" s="115">
        <v>3635</v>
      </c>
      <c r="C66" s="254">
        <v>0</v>
      </c>
      <c r="D66" s="27">
        <v>51</v>
      </c>
      <c r="E66" s="255">
        <v>3.572</v>
      </c>
      <c r="F66" s="258">
        <v>0</v>
      </c>
      <c r="G66" s="256">
        <v>0</v>
      </c>
      <c r="H66" s="258">
        <v>1</v>
      </c>
      <c r="I66" s="256">
        <v>0</v>
      </c>
      <c r="J66" s="27">
        <v>0</v>
      </c>
      <c r="K66" s="254">
        <v>1</v>
      </c>
      <c r="L66" s="27">
        <v>0</v>
      </c>
      <c r="M66" s="254">
        <v>0</v>
      </c>
      <c r="N66" s="27">
        <v>1</v>
      </c>
      <c r="O66" s="264">
        <v>0</v>
      </c>
    </row>
    <row r="67" spans="1:15" ht="12.75">
      <c r="A67" s="93">
        <v>65</v>
      </c>
      <c r="B67" s="115">
        <v>3432</v>
      </c>
      <c r="C67" s="254">
        <v>0</v>
      </c>
      <c r="D67" s="27">
        <v>55</v>
      </c>
      <c r="E67" s="255">
        <v>3.398</v>
      </c>
      <c r="F67" s="258">
        <v>0</v>
      </c>
      <c r="G67" s="256">
        <v>1</v>
      </c>
      <c r="H67" s="258">
        <v>0</v>
      </c>
      <c r="I67" s="256">
        <v>0</v>
      </c>
      <c r="J67" s="27">
        <v>0</v>
      </c>
      <c r="K67" s="254">
        <v>0</v>
      </c>
      <c r="L67" s="27">
        <v>1</v>
      </c>
      <c r="M67" s="254">
        <v>0</v>
      </c>
      <c r="N67" s="27">
        <v>1</v>
      </c>
      <c r="O67" s="264">
        <v>0</v>
      </c>
    </row>
    <row r="68" spans="1:15" ht="12.75">
      <c r="A68" s="93">
        <v>66</v>
      </c>
      <c r="B68" s="115">
        <v>4300</v>
      </c>
      <c r="C68" s="254">
        <v>1</v>
      </c>
      <c r="D68" s="27">
        <v>53</v>
      </c>
      <c r="E68" s="255">
        <v>3.203</v>
      </c>
      <c r="F68" s="258">
        <v>0</v>
      </c>
      <c r="G68" s="256">
        <v>1</v>
      </c>
      <c r="H68" s="258">
        <v>0</v>
      </c>
      <c r="I68" s="256">
        <v>0</v>
      </c>
      <c r="J68" s="27">
        <v>0</v>
      </c>
      <c r="K68" s="254">
        <v>1</v>
      </c>
      <c r="L68" s="27">
        <v>0</v>
      </c>
      <c r="M68" s="254">
        <v>0</v>
      </c>
      <c r="N68" s="27">
        <v>0</v>
      </c>
      <c r="O68" s="264">
        <v>1</v>
      </c>
    </row>
    <row r="69" spans="1:15" ht="12.75">
      <c r="A69" s="93">
        <v>67</v>
      </c>
      <c r="B69" s="115">
        <v>3772</v>
      </c>
      <c r="C69" s="254">
        <v>0</v>
      </c>
      <c r="D69" s="27">
        <v>54</v>
      </c>
      <c r="E69" s="255">
        <v>3.698</v>
      </c>
      <c r="F69" s="258">
        <v>0</v>
      </c>
      <c r="G69" s="256">
        <v>0</v>
      </c>
      <c r="H69" s="258">
        <v>1</v>
      </c>
      <c r="I69" s="256">
        <v>0</v>
      </c>
      <c r="J69" s="27">
        <v>0</v>
      </c>
      <c r="K69" s="254">
        <v>1</v>
      </c>
      <c r="L69" s="27">
        <v>0</v>
      </c>
      <c r="M69" s="254">
        <v>0</v>
      </c>
      <c r="N69" s="27">
        <v>1</v>
      </c>
      <c r="O69" s="264">
        <v>0</v>
      </c>
    </row>
    <row r="70" spans="1:15" ht="12.75">
      <c r="A70" s="93">
        <v>68</v>
      </c>
      <c r="B70" s="115">
        <v>26</v>
      </c>
      <c r="C70" s="254">
        <v>0</v>
      </c>
      <c r="D70" s="27">
        <v>51</v>
      </c>
      <c r="E70" s="255">
        <v>2.453</v>
      </c>
      <c r="F70" s="258">
        <v>1</v>
      </c>
      <c r="G70" s="256">
        <v>0</v>
      </c>
      <c r="H70" s="258">
        <v>0</v>
      </c>
      <c r="I70" s="256">
        <v>0</v>
      </c>
      <c r="J70" s="27">
        <v>0</v>
      </c>
      <c r="K70" s="254">
        <v>1</v>
      </c>
      <c r="L70" s="27">
        <v>0</v>
      </c>
      <c r="M70" s="254">
        <v>0</v>
      </c>
      <c r="N70" s="27">
        <v>1</v>
      </c>
      <c r="O70" s="264">
        <v>0</v>
      </c>
    </row>
    <row r="71" spans="1:15" ht="12.75">
      <c r="A71" s="93">
        <v>69</v>
      </c>
      <c r="B71" s="115">
        <v>957</v>
      </c>
      <c r="C71" s="254">
        <v>1</v>
      </c>
      <c r="D71" s="27">
        <v>52</v>
      </c>
      <c r="E71" s="255">
        <v>2.851</v>
      </c>
      <c r="F71" s="258">
        <v>1</v>
      </c>
      <c r="G71" s="256">
        <v>0</v>
      </c>
      <c r="H71" s="258">
        <v>0</v>
      </c>
      <c r="I71" s="256">
        <v>0</v>
      </c>
      <c r="J71" s="27">
        <v>0</v>
      </c>
      <c r="K71" s="254">
        <v>1</v>
      </c>
      <c r="L71" s="27">
        <v>0</v>
      </c>
      <c r="M71" s="254">
        <v>0</v>
      </c>
      <c r="N71" s="27">
        <v>1</v>
      </c>
      <c r="O71" s="264">
        <v>0</v>
      </c>
    </row>
    <row r="72" spans="1:15" ht="12.75">
      <c r="A72" s="93">
        <v>70</v>
      </c>
      <c r="B72" s="115">
        <v>4353</v>
      </c>
      <c r="C72" s="254">
        <v>0</v>
      </c>
      <c r="D72" s="27">
        <v>51</v>
      </c>
      <c r="E72" s="255">
        <v>3.64</v>
      </c>
      <c r="F72" s="258">
        <v>0</v>
      </c>
      <c r="G72" s="256">
        <v>0</v>
      </c>
      <c r="H72" s="258">
        <v>1</v>
      </c>
      <c r="I72" s="256">
        <v>0</v>
      </c>
      <c r="J72" s="27">
        <v>0</v>
      </c>
      <c r="K72" s="254">
        <v>1</v>
      </c>
      <c r="L72" s="27">
        <v>0</v>
      </c>
      <c r="M72" s="254">
        <v>1</v>
      </c>
      <c r="N72" s="27">
        <v>0</v>
      </c>
      <c r="O72" s="264">
        <v>0</v>
      </c>
    </row>
    <row r="73" spans="1:15" ht="12.75">
      <c r="A73" s="93">
        <v>71</v>
      </c>
      <c r="B73" s="115">
        <v>4533</v>
      </c>
      <c r="C73" s="254">
        <v>0</v>
      </c>
      <c r="D73" s="27">
        <v>51</v>
      </c>
      <c r="E73" s="255">
        <v>4.044</v>
      </c>
      <c r="F73" s="258">
        <v>0</v>
      </c>
      <c r="G73" s="256">
        <v>0</v>
      </c>
      <c r="H73" s="258">
        <v>0</v>
      </c>
      <c r="I73" s="256">
        <v>1</v>
      </c>
      <c r="J73" s="27">
        <v>0</v>
      </c>
      <c r="K73" s="254">
        <v>0</v>
      </c>
      <c r="L73" s="27">
        <v>1</v>
      </c>
      <c r="M73" s="254">
        <v>0</v>
      </c>
      <c r="N73" s="27">
        <v>1</v>
      </c>
      <c r="O73" s="264">
        <v>0</v>
      </c>
    </row>
    <row r="74" spans="1:15" ht="12.75">
      <c r="A74" s="93">
        <v>72</v>
      </c>
      <c r="B74" s="115">
        <v>2742</v>
      </c>
      <c r="C74" s="254">
        <v>0</v>
      </c>
      <c r="D74" s="27">
        <v>51</v>
      </c>
      <c r="E74" s="255">
        <v>3.564</v>
      </c>
      <c r="F74" s="258">
        <v>0</v>
      </c>
      <c r="G74" s="256">
        <v>0</v>
      </c>
      <c r="H74" s="258">
        <v>1</v>
      </c>
      <c r="I74" s="256">
        <v>0</v>
      </c>
      <c r="J74" s="27">
        <v>0</v>
      </c>
      <c r="K74" s="254">
        <v>1</v>
      </c>
      <c r="L74" s="27">
        <v>0</v>
      </c>
      <c r="M74" s="254">
        <v>0</v>
      </c>
      <c r="N74" s="27">
        <v>0</v>
      </c>
      <c r="O74" s="264">
        <v>1</v>
      </c>
    </row>
    <row r="75" spans="1:15" ht="12.75">
      <c r="A75" s="93">
        <v>73</v>
      </c>
      <c r="B75" s="115">
        <v>1131</v>
      </c>
      <c r="C75" s="254">
        <v>0</v>
      </c>
      <c r="D75" s="27">
        <v>54</v>
      </c>
      <c r="E75" s="255">
        <v>3.692</v>
      </c>
      <c r="F75" s="258">
        <v>0</v>
      </c>
      <c r="G75" s="256">
        <v>0</v>
      </c>
      <c r="H75" s="258">
        <v>1</v>
      </c>
      <c r="I75" s="256">
        <v>0</v>
      </c>
      <c r="J75" s="27">
        <v>0</v>
      </c>
      <c r="K75" s="254">
        <v>0</v>
      </c>
      <c r="L75" s="27">
        <v>1</v>
      </c>
      <c r="M75" s="254">
        <v>0</v>
      </c>
      <c r="N75" s="27">
        <v>1</v>
      </c>
      <c r="O75" s="264">
        <v>0</v>
      </c>
    </row>
    <row r="76" spans="1:15" ht="12.75">
      <c r="A76" s="93">
        <v>74</v>
      </c>
      <c r="B76" s="115">
        <v>3003</v>
      </c>
      <c r="C76" s="254">
        <v>0</v>
      </c>
      <c r="D76" s="27">
        <v>52</v>
      </c>
      <c r="E76" s="255">
        <v>2.837</v>
      </c>
      <c r="F76" s="258">
        <v>0</v>
      </c>
      <c r="G76" s="256">
        <v>0</v>
      </c>
      <c r="H76" s="258">
        <v>1</v>
      </c>
      <c r="I76" s="256">
        <v>0</v>
      </c>
      <c r="J76" s="27">
        <v>0</v>
      </c>
      <c r="K76" s="254">
        <v>1</v>
      </c>
      <c r="L76" s="27">
        <v>0</v>
      </c>
      <c r="M76" s="254">
        <v>0</v>
      </c>
      <c r="N76" s="27">
        <v>0</v>
      </c>
      <c r="O76" s="264">
        <v>1</v>
      </c>
    </row>
    <row r="77" spans="1:15" ht="12.75">
      <c r="A77" s="93">
        <v>75</v>
      </c>
      <c r="B77" s="115">
        <v>1078</v>
      </c>
      <c r="C77" s="254">
        <v>1</v>
      </c>
      <c r="D77" s="27">
        <v>55</v>
      </c>
      <c r="E77" s="255">
        <v>3.584</v>
      </c>
      <c r="F77" s="258">
        <v>0</v>
      </c>
      <c r="G77" s="256">
        <v>0</v>
      </c>
      <c r="H77" s="258">
        <v>1</v>
      </c>
      <c r="I77" s="256">
        <v>0</v>
      </c>
      <c r="J77" s="27">
        <v>0</v>
      </c>
      <c r="K77" s="254">
        <v>1</v>
      </c>
      <c r="L77" s="27">
        <v>0</v>
      </c>
      <c r="M77" s="254">
        <v>1</v>
      </c>
      <c r="N77" s="27">
        <v>0</v>
      </c>
      <c r="O77" s="264">
        <v>0</v>
      </c>
    </row>
    <row r="78" spans="1:15" ht="12.75">
      <c r="A78" s="93">
        <v>76</v>
      </c>
      <c r="B78" s="115">
        <v>949</v>
      </c>
      <c r="C78" s="254">
        <v>0</v>
      </c>
      <c r="D78" s="27">
        <v>55</v>
      </c>
      <c r="E78" s="255">
        <v>3.594</v>
      </c>
      <c r="F78" s="258">
        <v>0</v>
      </c>
      <c r="G78" s="256">
        <v>0</v>
      </c>
      <c r="H78" s="258">
        <v>1</v>
      </c>
      <c r="I78" s="256">
        <v>0</v>
      </c>
      <c r="J78" s="27">
        <v>0</v>
      </c>
      <c r="K78" s="254">
        <v>1</v>
      </c>
      <c r="L78" s="27">
        <v>0</v>
      </c>
      <c r="M78" s="254">
        <v>1</v>
      </c>
      <c r="N78" s="27">
        <v>0</v>
      </c>
      <c r="O78" s="264">
        <v>0</v>
      </c>
    </row>
    <row r="79" spans="1:15" ht="12.75">
      <c r="A79" s="93">
        <v>77</v>
      </c>
      <c r="B79" s="115">
        <v>61</v>
      </c>
      <c r="C79" s="254">
        <v>0</v>
      </c>
      <c r="D79" s="27">
        <v>51</v>
      </c>
      <c r="E79" s="255">
        <v>3.593</v>
      </c>
      <c r="F79" s="258">
        <v>0</v>
      </c>
      <c r="G79" s="256">
        <v>0</v>
      </c>
      <c r="H79" s="258">
        <v>1</v>
      </c>
      <c r="I79" s="256">
        <v>0</v>
      </c>
      <c r="J79" s="27">
        <v>0</v>
      </c>
      <c r="K79" s="254">
        <v>1</v>
      </c>
      <c r="L79" s="27">
        <v>0</v>
      </c>
      <c r="M79" s="254">
        <v>0</v>
      </c>
      <c r="N79" s="27">
        <v>1</v>
      </c>
      <c r="O79" s="264">
        <v>0</v>
      </c>
    </row>
    <row r="80" spans="1:15" ht="12.75">
      <c r="A80" s="93">
        <v>78</v>
      </c>
      <c r="B80" s="115">
        <v>3316</v>
      </c>
      <c r="C80" s="254">
        <v>0</v>
      </c>
      <c r="D80" s="27">
        <v>54</v>
      </c>
      <c r="E80" s="255">
        <v>3.869</v>
      </c>
      <c r="F80" s="258">
        <v>0</v>
      </c>
      <c r="G80" s="256">
        <v>0</v>
      </c>
      <c r="H80" s="258">
        <v>0</v>
      </c>
      <c r="I80" s="256">
        <v>1</v>
      </c>
      <c r="J80" s="27">
        <v>0</v>
      </c>
      <c r="K80" s="254">
        <v>1</v>
      </c>
      <c r="L80" s="27">
        <v>0</v>
      </c>
      <c r="M80" s="254">
        <v>1</v>
      </c>
      <c r="N80" s="27">
        <v>0</v>
      </c>
      <c r="O80" s="264">
        <v>0</v>
      </c>
    </row>
    <row r="81" spans="1:15" ht="12.75">
      <c r="A81" s="93">
        <v>79</v>
      </c>
      <c r="B81" s="115">
        <v>4099</v>
      </c>
      <c r="C81" s="254">
        <v>1</v>
      </c>
      <c r="D81" s="27">
        <v>50</v>
      </c>
      <c r="E81" s="255">
        <v>3.395</v>
      </c>
      <c r="F81" s="258">
        <v>0</v>
      </c>
      <c r="G81" s="256">
        <v>1</v>
      </c>
      <c r="H81" s="258">
        <v>0</v>
      </c>
      <c r="I81" s="256">
        <v>0</v>
      </c>
      <c r="J81" s="27">
        <v>0</v>
      </c>
      <c r="K81" s="254">
        <v>0</v>
      </c>
      <c r="L81" s="27">
        <v>1</v>
      </c>
      <c r="M81" s="254">
        <v>0</v>
      </c>
      <c r="N81" s="27">
        <v>0</v>
      </c>
      <c r="O81" s="264">
        <v>1</v>
      </c>
    </row>
    <row r="82" spans="1:15" ht="12.75">
      <c r="A82" s="93">
        <v>80</v>
      </c>
      <c r="B82" s="115">
        <v>569</v>
      </c>
      <c r="C82" s="254">
        <v>1</v>
      </c>
      <c r="D82" s="27">
        <v>55</v>
      </c>
      <c r="E82" s="255">
        <v>3.83</v>
      </c>
      <c r="F82" s="258">
        <v>0</v>
      </c>
      <c r="G82" s="256">
        <v>0</v>
      </c>
      <c r="H82" s="258">
        <v>0</v>
      </c>
      <c r="I82" s="256">
        <v>1</v>
      </c>
      <c r="J82" s="27">
        <v>0</v>
      </c>
      <c r="K82" s="254">
        <v>1</v>
      </c>
      <c r="L82" s="27">
        <v>0</v>
      </c>
      <c r="M82" s="254">
        <v>0</v>
      </c>
      <c r="N82" s="27">
        <v>0</v>
      </c>
      <c r="O82" s="264">
        <v>1</v>
      </c>
    </row>
    <row r="83" spans="1:15" ht="12.75">
      <c r="A83" s="93">
        <v>81</v>
      </c>
      <c r="B83" s="115">
        <v>1498</v>
      </c>
      <c r="C83" s="254">
        <v>1</v>
      </c>
      <c r="D83" s="27">
        <v>53</v>
      </c>
      <c r="E83" s="255">
        <v>2.583</v>
      </c>
      <c r="F83" s="258">
        <v>1</v>
      </c>
      <c r="G83" s="256">
        <v>0</v>
      </c>
      <c r="H83" s="258">
        <v>0</v>
      </c>
      <c r="I83" s="256">
        <v>0</v>
      </c>
      <c r="J83" s="27">
        <v>0</v>
      </c>
      <c r="K83" s="254">
        <v>1</v>
      </c>
      <c r="L83" s="27">
        <v>0</v>
      </c>
      <c r="M83" s="254">
        <v>1</v>
      </c>
      <c r="N83" s="27">
        <v>0</v>
      </c>
      <c r="O83" s="264">
        <v>0</v>
      </c>
    </row>
    <row r="84" spans="1:15" ht="12.75">
      <c r="A84" s="93">
        <v>82</v>
      </c>
      <c r="B84" s="115">
        <v>1463</v>
      </c>
      <c r="C84" s="254">
        <v>1</v>
      </c>
      <c r="D84" s="27">
        <v>50</v>
      </c>
      <c r="E84" s="255">
        <v>3.66</v>
      </c>
      <c r="F84" s="258">
        <v>0</v>
      </c>
      <c r="G84" s="256">
        <v>0</v>
      </c>
      <c r="H84" s="258">
        <v>1</v>
      </c>
      <c r="I84" s="256">
        <v>0</v>
      </c>
      <c r="J84" s="27">
        <v>0</v>
      </c>
      <c r="K84" s="254">
        <v>1</v>
      </c>
      <c r="L84" s="27">
        <v>0</v>
      </c>
      <c r="M84" s="254">
        <v>0</v>
      </c>
      <c r="N84" s="27">
        <v>1</v>
      </c>
      <c r="O84" s="264">
        <v>0</v>
      </c>
    </row>
    <row r="85" spans="1:15" ht="12.75">
      <c r="A85" s="93">
        <v>83</v>
      </c>
      <c r="B85" s="115">
        <v>2527</v>
      </c>
      <c r="C85" s="254">
        <v>1</v>
      </c>
      <c r="D85" s="27">
        <v>55</v>
      </c>
      <c r="E85" s="255">
        <v>4.519</v>
      </c>
      <c r="F85" s="258">
        <v>0</v>
      </c>
      <c r="G85" s="256">
        <v>0</v>
      </c>
      <c r="H85" s="258">
        <v>0</v>
      </c>
      <c r="I85" s="256">
        <v>1</v>
      </c>
      <c r="J85" s="27">
        <v>0</v>
      </c>
      <c r="K85" s="254">
        <v>1</v>
      </c>
      <c r="L85" s="27">
        <v>0</v>
      </c>
      <c r="M85" s="254">
        <v>0</v>
      </c>
      <c r="N85" s="27">
        <v>0</v>
      </c>
      <c r="O85" s="264">
        <v>1</v>
      </c>
    </row>
    <row r="86" spans="1:15" ht="12.75">
      <c r="A86" s="93">
        <v>84</v>
      </c>
      <c r="B86" s="115">
        <v>1805</v>
      </c>
      <c r="C86" s="254">
        <v>0</v>
      </c>
      <c r="D86" s="27">
        <v>51</v>
      </c>
      <c r="E86" s="255">
        <v>3.56</v>
      </c>
      <c r="F86" s="258">
        <v>0</v>
      </c>
      <c r="G86" s="256">
        <v>0</v>
      </c>
      <c r="H86" s="258">
        <v>1</v>
      </c>
      <c r="I86" s="256">
        <v>0</v>
      </c>
      <c r="J86" s="27">
        <v>0</v>
      </c>
      <c r="K86" s="254">
        <v>1</v>
      </c>
      <c r="L86" s="27">
        <v>0</v>
      </c>
      <c r="M86" s="254">
        <v>0</v>
      </c>
      <c r="N86" s="27">
        <v>1</v>
      </c>
      <c r="O86" s="264">
        <v>0</v>
      </c>
    </row>
    <row r="87" spans="1:15" ht="12.75">
      <c r="A87" s="93">
        <v>85</v>
      </c>
      <c r="B87" s="115">
        <v>3184</v>
      </c>
      <c r="C87" s="254">
        <v>1</v>
      </c>
      <c r="D87" s="27">
        <v>52</v>
      </c>
      <c r="E87" s="255">
        <v>3.137</v>
      </c>
      <c r="F87" s="258">
        <v>0</v>
      </c>
      <c r="G87" s="256">
        <v>1</v>
      </c>
      <c r="H87" s="258">
        <v>0</v>
      </c>
      <c r="I87" s="256">
        <v>0</v>
      </c>
      <c r="J87" s="27">
        <v>0</v>
      </c>
      <c r="K87" s="254">
        <v>1</v>
      </c>
      <c r="L87" s="27">
        <v>0</v>
      </c>
      <c r="M87" s="254">
        <v>0</v>
      </c>
      <c r="N87" s="27">
        <v>0</v>
      </c>
      <c r="O87" s="264">
        <v>1</v>
      </c>
    </row>
    <row r="88" spans="1:15" ht="12.75">
      <c r="A88" s="93">
        <v>86</v>
      </c>
      <c r="B88" s="115">
        <v>2312</v>
      </c>
      <c r="C88" s="254">
        <v>0</v>
      </c>
      <c r="D88" s="27">
        <v>52</v>
      </c>
      <c r="E88" s="255">
        <v>3.239</v>
      </c>
      <c r="F88" s="258">
        <v>0</v>
      </c>
      <c r="G88" s="256">
        <v>1</v>
      </c>
      <c r="H88" s="258">
        <v>0</v>
      </c>
      <c r="I88" s="256">
        <v>0</v>
      </c>
      <c r="J88" s="27">
        <v>1</v>
      </c>
      <c r="K88" s="254">
        <v>0</v>
      </c>
      <c r="L88" s="27">
        <v>0</v>
      </c>
      <c r="M88" s="254">
        <v>1</v>
      </c>
      <c r="N88" s="27">
        <v>0</v>
      </c>
      <c r="O88" s="264">
        <v>0</v>
      </c>
    </row>
    <row r="89" spans="1:15" ht="12.75">
      <c r="A89" s="93">
        <v>87</v>
      </c>
      <c r="B89" s="115">
        <v>140</v>
      </c>
      <c r="C89" s="254">
        <v>0</v>
      </c>
      <c r="D89" s="27">
        <v>55</v>
      </c>
      <c r="E89" s="255">
        <v>3.01</v>
      </c>
      <c r="F89" s="258">
        <v>1</v>
      </c>
      <c r="G89" s="256">
        <v>0</v>
      </c>
      <c r="H89" s="258">
        <v>0</v>
      </c>
      <c r="I89" s="256">
        <v>0</v>
      </c>
      <c r="J89" s="27">
        <v>0</v>
      </c>
      <c r="K89" s="254">
        <v>1</v>
      </c>
      <c r="L89" s="27">
        <v>0</v>
      </c>
      <c r="M89" s="254">
        <v>1</v>
      </c>
      <c r="N89" s="27">
        <v>0</v>
      </c>
      <c r="O89" s="264">
        <v>0</v>
      </c>
    </row>
    <row r="90" spans="1:15" ht="12.75">
      <c r="A90" s="93">
        <v>88</v>
      </c>
      <c r="B90" s="115">
        <v>3779</v>
      </c>
      <c r="C90" s="254">
        <v>0</v>
      </c>
      <c r="D90" s="27">
        <v>51</v>
      </c>
      <c r="E90" s="255">
        <v>3.257</v>
      </c>
      <c r="F90" s="258">
        <v>0</v>
      </c>
      <c r="G90" s="256">
        <v>1</v>
      </c>
      <c r="H90" s="258">
        <v>0</v>
      </c>
      <c r="I90" s="256">
        <v>0</v>
      </c>
      <c r="J90" s="27">
        <v>0</v>
      </c>
      <c r="K90" s="254">
        <v>0</v>
      </c>
      <c r="L90" s="27">
        <v>1</v>
      </c>
      <c r="M90" s="254">
        <v>0</v>
      </c>
      <c r="N90" s="27">
        <v>1</v>
      </c>
      <c r="O90" s="264">
        <v>0</v>
      </c>
    </row>
    <row r="91" spans="1:15" ht="12.75">
      <c r="A91" s="93">
        <v>89</v>
      </c>
      <c r="B91" s="115">
        <v>3143</v>
      </c>
      <c r="C91" s="254">
        <v>1</v>
      </c>
      <c r="D91" s="27">
        <v>54</v>
      </c>
      <c r="E91" s="255">
        <v>3.259</v>
      </c>
      <c r="F91" s="258">
        <v>0</v>
      </c>
      <c r="G91" s="256">
        <v>1</v>
      </c>
      <c r="H91" s="258">
        <v>0</v>
      </c>
      <c r="I91" s="256">
        <v>0</v>
      </c>
      <c r="J91" s="27">
        <v>0</v>
      </c>
      <c r="K91" s="254">
        <v>1</v>
      </c>
      <c r="L91" s="27">
        <v>0</v>
      </c>
      <c r="M91" s="254">
        <v>0</v>
      </c>
      <c r="N91" s="27">
        <v>1</v>
      </c>
      <c r="O91" s="264">
        <v>0</v>
      </c>
    </row>
    <row r="92" spans="1:15" ht="12.75">
      <c r="A92" s="93">
        <v>90</v>
      </c>
      <c r="B92" s="115">
        <v>2884</v>
      </c>
      <c r="C92" s="254">
        <v>0</v>
      </c>
      <c r="D92" s="27">
        <v>53</v>
      </c>
      <c r="E92" s="255">
        <v>3.219</v>
      </c>
      <c r="F92" s="258">
        <v>0</v>
      </c>
      <c r="G92" s="256">
        <v>1</v>
      </c>
      <c r="H92" s="258">
        <v>0</v>
      </c>
      <c r="I92" s="256">
        <v>0</v>
      </c>
      <c r="J92" s="27">
        <v>0</v>
      </c>
      <c r="K92" s="254">
        <v>1</v>
      </c>
      <c r="L92" s="27">
        <v>0</v>
      </c>
      <c r="M92" s="254">
        <v>0</v>
      </c>
      <c r="N92" s="27">
        <v>1</v>
      </c>
      <c r="O92" s="264">
        <v>0</v>
      </c>
    </row>
    <row r="93" spans="1:15" ht="12.75">
      <c r="A93" s="93">
        <v>91</v>
      </c>
      <c r="B93" s="115">
        <v>3369</v>
      </c>
      <c r="C93" s="254">
        <v>1</v>
      </c>
      <c r="D93" s="27">
        <v>54</v>
      </c>
      <c r="E93" s="255">
        <v>3.346</v>
      </c>
      <c r="F93" s="258">
        <v>0</v>
      </c>
      <c r="G93" s="256">
        <v>1</v>
      </c>
      <c r="H93" s="258">
        <v>0</v>
      </c>
      <c r="I93" s="256">
        <v>0</v>
      </c>
      <c r="J93" s="27">
        <v>0</v>
      </c>
      <c r="K93" s="254">
        <v>1</v>
      </c>
      <c r="L93" s="27">
        <v>0</v>
      </c>
      <c r="M93" s="254">
        <v>0</v>
      </c>
      <c r="N93" s="27">
        <v>0</v>
      </c>
      <c r="O93" s="264">
        <v>1</v>
      </c>
    </row>
    <row r="94" spans="1:15" ht="12.75">
      <c r="A94" s="93">
        <v>92</v>
      </c>
      <c r="B94" s="115">
        <v>1230</v>
      </c>
      <c r="C94" s="254">
        <v>0</v>
      </c>
      <c r="D94" s="27">
        <v>52</v>
      </c>
      <c r="E94" s="255">
        <v>3.342</v>
      </c>
      <c r="F94" s="258">
        <v>0</v>
      </c>
      <c r="G94" s="256">
        <v>1</v>
      </c>
      <c r="H94" s="258">
        <v>0</v>
      </c>
      <c r="I94" s="256">
        <v>0</v>
      </c>
      <c r="J94" s="27">
        <v>0</v>
      </c>
      <c r="K94" s="254">
        <v>1</v>
      </c>
      <c r="L94" s="27">
        <v>0</v>
      </c>
      <c r="M94" s="254">
        <v>1</v>
      </c>
      <c r="N94" s="27">
        <v>0</v>
      </c>
      <c r="O94" s="264">
        <v>0</v>
      </c>
    </row>
    <row r="95" spans="1:15" ht="12.75">
      <c r="A95" s="93">
        <v>93</v>
      </c>
      <c r="B95" s="115">
        <v>3675</v>
      </c>
      <c r="C95" s="254">
        <v>0</v>
      </c>
      <c r="D95" s="27">
        <v>52</v>
      </c>
      <c r="E95" s="255">
        <v>2.323</v>
      </c>
      <c r="F95" s="258">
        <v>1</v>
      </c>
      <c r="G95" s="256">
        <v>0</v>
      </c>
      <c r="H95" s="258">
        <v>0</v>
      </c>
      <c r="I95" s="256">
        <v>0</v>
      </c>
      <c r="J95" s="27">
        <v>0</v>
      </c>
      <c r="K95" s="254">
        <v>1</v>
      </c>
      <c r="L95" s="27">
        <v>0</v>
      </c>
      <c r="M95" s="254">
        <v>0</v>
      </c>
      <c r="N95" s="27">
        <v>0</v>
      </c>
      <c r="O95" s="264">
        <v>1</v>
      </c>
    </row>
    <row r="96" spans="1:15" ht="12.75">
      <c r="A96" s="93">
        <v>94</v>
      </c>
      <c r="B96" s="115">
        <v>3329</v>
      </c>
      <c r="C96" s="254">
        <v>1</v>
      </c>
      <c r="D96" s="27">
        <v>53</v>
      </c>
      <c r="E96" s="255">
        <v>3.128</v>
      </c>
      <c r="F96" s="258">
        <v>1</v>
      </c>
      <c r="G96" s="256">
        <v>0</v>
      </c>
      <c r="H96" s="258">
        <v>0</v>
      </c>
      <c r="I96" s="256">
        <v>0</v>
      </c>
      <c r="J96" s="27">
        <v>0</v>
      </c>
      <c r="K96" s="254">
        <v>0</v>
      </c>
      <c r="L96" s="27">
        <v>1</v>
      </c>
      <c r="M96" s="254">
        <v>0</v>
      </c>
      <c r="N96" s="27">
        <v>1</v>
      </c>
      <c r="O96" s="264">
        <v>0</v>
      </c>
    </row>
    <row r="97" spans="1:15" ht="12.75">
      <c r="A97" s="93">
        <v>95</v>
      </c>
      <c r="B97" s="115">
        <v>1556</v>
      </c>
      <c r="C97" s="254">
        <v>1</v>
      </c>
      <c r="D97" s="27">
        <v>54</v>
      </c>
      <c r="E97" s="255">
        <v>3.602</v>
      </c>
      <c r="F97" s="258">
        <v>0</v>
      </c>
      <c r="G97" s="256">
        <v>0</v>
      </c>
      <c r="H97" s="258">
        <v>1</v>
      </c>
      <c r="I97" s="256">
        <v>0</v>
      </c>
      <c r="J97" s="27">
        <v>0</v>
      </c>
      <c r="K97" s="254">
        <v>1</v>
      </c>
      <c r="L97" s="27">
        <v>0</v>
      </c>
      <c r="M97" s="254">
        <v>1</v>
      </c>
      <c r="N97" s="27">
        <v>0</v>
      </c>
      <c r="O97" s="264">
        <v>0</v>
      </c>
    </row>
    <row r="98" spans="1:15" ht="12.75">
      <c r="A98" s="93">
        <v>96</v>
      </c>
      <c r="B98" s="115">
        <v>2745</v>
      </c>
      <c r="C98" s="254">
        <v>1</v>
      </c>
      <c r="D98" s="27">
        <v>50</v>
      </c>
      <c r="E98" s="255">
        <v>4.039</v>
      </c>
      <c r="F98" s="258">
        <v>0</v>
      </c>
      <c r="G98" s="256">
        <v>0</v>
      </c>
      <c r="H98" s="258">
        <v>0</v>
      </c>
      <c r="I98" s="256">
        <v>1</v>
      </c>
      <c r="J98" s="27">
        <v>0</v>
      </c>
      <c r="K98" s="254">
        <v>1</v>
      </c>
      <c r="L98" s="27">
        <v>0</v>
      </c>
      <c r="M98" s="254">
        <v>0</v>
      </c>
      <c r="N98" s="27">
        <v>1</v>
      </c>
      <c r="O98" s="264">
        <v>0</v>
      </c>
    </row>
    <row r="99" spans="1:15" ht="12.75">
      <c r="A99" s="93">
        <v>97</v>
      </c>
      <c r="B99" s="115">
        <v>2335</v>
      </c>
      <c r="C99" s="254">
        <v>1</v>
      </c>
      <c r="D99" s="27">
        <v>56</v>
      </c>
      <c r="E99" s="255">
        <v>4.477</v>
      </c>
      <c r="F99" s="258">
        <v>0</v>
      </c>
      <c r="G99" s="256">
        <v>0</v>
      </c>
      <c r="H99" s="258">
        <v>0</v>
      </c>
      <c r="I99" s="256">
        <v>1</v>
      </c>
      <c r="J99" s="27">
        <v>0</v>
      </c>
      <c r="K99" s="254">
        <v>1</v>
      </c>
      <c r="L99" s="27">
        <v>0</v>
      </c>
      <c r="M99" s="254">
        <v>0</v>
      </c>
      <c r="N99" s="27">
        <v>1</v>
      </c>
      <c r="O99" s="264">
        <v>0</v>
      </c>
    </row>
    <row r="100" spans="1:15" ht="12.75">
      <c r="A100" s="93">
        <v>98</v>
      </c>
      <c r="B100" s="115">
        <v>2602</v>
      </c>
      <c r="C100" s="254">
        <v>1</v>
      </c>
      <c r="D100" s="27">
        <v>56</v>
      </c>
      <c r="E100" s="255">
        <v>2.367</v>
      </c>
      <c r="F100" s="258">
        <v>1</v>
      </c>
      <c r="G100" s="256">
        <v>0</v>
      </c>
      <c r="H100" s="258">
        <v>0</v>
      </c>
      <c r="I100" s="256">
        <v>0</v>
      </c>
      <c r="J100" s="27">
        <v>0</v>
      </c>
      <c r="K100" s="254">
        <v>1</v>
      </c>
      <c r="L100" s="27">
        <v>0</v>
      </c>
      <c r="M100" s="254">
        <v>0</v>
      </c>
      <c r="N100" s="27">
        <v>1</v>
      </c>
      <c r="O100" s="264">
        <v>0</v>
      </c>
    </row>
    <row r="101" spans="1:15" ht="12.75">
      <c r="A101" s="93">
        <v>99</v>
      </c>
      <c r="B101" s="115">
        <v>2060</v>
      </c>
      <c r="C101" s="254">
        <v>0</v>
      </c>
      <c r="D101" s="27">
        <v>52</v>
      </c>
      <c r="E101" s="255">
        <v>4.862</v>
      </c>
      <c r="F101" s="258">
        <v>0</v>
      </c>
      <c r="G101" s="256">
        <v>0</v>
      </c>
      <c r="H101" s="258">
        <v>0</v>
      </c>
      <c r="I101" s="256">
        <v>1</v>
      </c>
      <c r="J101" s="27">
        <v>0</v>
      </c>
      <c r="K101" s="254">
        <v>1</v>
      </c>
      <c r="L101" s="27">
        <v>0</v>
      </c>
      <c r="M101" s="254">
        <v>0</v>
      </c>
      <c r="N101" s="27">
        <v>0</v>
      </c>
      <c r="O101" s="264">
        <v>1</v>
      </c>
    </row>
    <row r="102" spans="1:15" ht="12.75">
      <c r="A102" s="93">
        <v>100</v>
      </c>
      <c r="B102" s="115">
        <v>3410</v>
      </c>
      <c r="C102" s="254">
        <v>1</v>
      </c>
      <c r="D102" s="27">
        <v>52</v>
      </c>
      <c r="E102" s="255">
        <v>3.568</v>
      </c>
      <c r="F102" s="258">
        <v>0</v>
      </c>
      <c r="G102" s="256">
        <v>0</v>
      </c>
      <c r="H102" s="258">
        <v>1</v>
      </c>
      <c r="I102" s="256">
        <v>0</v>
      </c>
      <c r="J102" s="27">
        <v>0</v>
      </c>
      <c r="K102" s="254">
        <v>1</v>
      </c>
      <c r="L102" s="27">
        <v>0</v>
      </c>
      <c r="M102" s="254">
        <v>0</v>
      </c>
      <c r="N102" s="27">
        <v>0</v>
      </c>
      <c r="O102" s="264">
        <v>1</v>
      </c>
    </row>
    <row r="103" spans="1:15" ht="12.75">
      <c r="A103" s="93">
        <v>101</v>
      </c>
      <c r="B103" s="115">
        <v>1800</v>
      </c>
      <c r="C103" s="254">
        <v>1</v>
      </c>
      <c r="D103" s="27">
        <v>53</v>
      </c>
      <c r="E103" s="255">
        <v>3.491</v>
      </c>
      <c r="F103" s="258">
        <v>0</v>
      </c>
      <c r="G103" s="256">
        <v>0</v>
      </c>
      <c r="H103" s="258">
        <v>1</v>
      </c>
      <c r="I103" s="256">
        <v>0</v>
      </c>
      <c r="J103" s="27">
        <v>0</v>
      </c>
      <c r="K103" s="254">
        <v>1</v>
      </c>
      <c r="L103" s="27">
        <v>0</v>
      </c>
      <c r="M103" s="254">
        <v>1</v>
      </c>
      <c r="N103" s="27">
        <v>0</v>
      </c>
      <c r="O103" s="264">
        <v>0</v>
      </c>
    </row>
    <row r="104" spans="1:15" ht="12.75">
      <c r="A104" s="93">
        <v>102</v>
      </c>
      <c r="B104" s="115">
        <v>4526</v>
      </c>
      <c r="C104" s="254">
        <v>0</v>
      </c>
      <c r="D104" s="27">
        <v>51</v>
      </c>
      <c r="E104" s="255">
        <v>3.182</v>
      </c>
      <c r="F104" s="258">
        <v>0</v>
      </c>
      <c r="G104" s="256">
        <v>1</v>
      </c>
      <c r="H104" s="258">
        <v>0</v>
      </c>
      <c r="I104" s="256">
        <v>0</v>
      </c>
      <c r="J104" s="27">
        <v>0</v>
      </c>
      <c r="K104" s="254">
        <v>1</v>
      </c>
      <c r="L104" s="27">
        <v>0</v>
      </c>
      <c r="M104" s="254">
        <v>1</v>
      </c>
      <c r="N104" s="27">
        <v>0</v>
      </c>
      <c r="O104" s="264">
        <v>0</v>
      </c>
    </row>
    <row r="105" spans="1:15" ht="12.75">
      <c r="A105" s="93">
        <v>103</v>
      </c>
      <c r="B105" s="115">
        <v>1173</v>
      </c>
      <c r="C105" s="254">
        <v>0</v>
      </c>
      <c r="D105" s="27">
        <v>53</v>
      </c>
      <c r="E105" s="255">
        <v>3.579</v>
      </c>
      <c r="F105" s="258">
        <v>0</v>
      </c>
      <c r="G105" s="256">
        <v>0</v>
      </c>
      <c r="H105" s="258">
        <v>1</v>
      </c>
      <c r="I105" s="256">
        <v>0</v>
      </c>
      <c r="J105" s="27">
        <v>0</v>
      </c>
      <c r="K105" s="254">
        <v>0</v>
      </c>
      <c r="L105" s="27">
        <v>1</v>
      </c>
      <c r="M105" s="254">
        <v>0</v>
      </c>
      <c r="N105" s="27">
        <v>0</v>
      </c>
      <c r="O105" s="264">
        <v>1</v>
      </c>
    </row>
    <row r="106" spans="1:15" ht="12.75">
      <c r="A106" s="93">
        <v>104</v>
      </c>
      <c r="B106" s="115">
        <v>2957</v>
      </c>
      <c r="C106" s="254">
        <v>1</v>
      </c>
      <c r="D106" s="27">
        <v>52</v>
      </c>
      <c r="E106" s="255">
        <v>2.781</v>
      </c>
      <c r="F106" s="258">
        <v>1</v>
      </c>
      <c r="G106" s="256">
        <v>0</v>
      </c>
      <c r="H106" s="258">
        <v>0</v>
      </c>
      <c r="I106" s="256">
        <v>0</v>
      </c>
      <c r="J106" s="27">
        <v>0</v>
      </c>
      <c r="K106" s="254">
        <v>0</v>
      </c>
      <c r="L106" s="27">
        <v>1</v>
      </c>
      <c r="M106" s="254">
        <v>0</v>
      </c>
      <c r="N106" s="27">
        <v>1</v>
      </c>
      <c r="O106" s="264">
        <v>0</v>
      </c>
    </row>
    <row r="107" spans="1:15" ht="12.75">
      <c r="A107" s="93">
        <v>105</v>
      </c>
      <c r="B107" s="115">
        <v>1126</v>
      </c>
      <c r="C107" s="254">
        <v>0</v>
      </c>
      <c r="D107" s="27">
        <v>51</v>
      </c>
      <c r="E107" s="255">
        <v>2.487</v>
      </c>
      <c r="F107" s="258">
        <v>1</v>
      </c>
      <c r="G107" s="256">
        <v>0</v>
      </c>
      <c r="H107" s="258">
        <v>0</v>
      </c>
      <c r="I107" s="256">
        <v>0</v>
      </c>
      <c r="J107" s="27">
        <v>0</v>
      </c>
      <c r="K107" s="254">
        <v>1</v>
      </c>
      <c r="L107" s="27">
        <v>0</v>
      </c>
      <c r="M107" s="254">
        <v>0</v>
      </c>
      <c r="N107" s="27">
        <v>1</v>
      </c>
      <c r="O107" s="264">
        <v>0</v>
      </c>
    </row>
    <row r="108" spans="1:15" ht="12.75">
      <c r="A108" s="93">
        <v>106</v>
      </c>
      <c r="B108" s="115">
        <v>347</v>
      </c>
      <c r="C108" s="254">
        <v>1</v>
      </c>
      <c r="D108" s="27">
        <v>51</v>
      </c>
      <c r="E108" s="255">
        <v>2.536</v>
      </c>
      <c r="F108" s="258">
        <v>1</v>
      </c>
      <c r="G108" s="256">
        <v>0</v>
      </c>
      <c r="H108" s="258">
        <v>0</v>
      </c>
      <c r="I108" s="256">
        <v>0</v>
      </c>
      <c r="J108" s="27">
        <v>0</v>
      </c>
      <c r="K108" s="254">
        <v>1</v>
      </c>
      <c r="L108" s="27">
        <v>0</v>
      </c>
      <c r="M108" s="254">
        <v>0</v>
      </c>
      <c r="N108" s="27">
        <v>0</v>
      </c>
      <c r="O108" s="264">
        <v>1</v>
      </c>
    </row>
    <row r="109" spans="1:15" ht="12.75">
      <c r="A109" s="93">
        <v>107</v>
      </c>
      <c r="B109" s="115">
        <v>1689</v>
      </c>
      <c r="C109" s="254">
        <v>1</v>
      </c>
      <c r="D109" s="27">
        <v>51</v>
      </c>
      <c r="E109" s="255">
        <v>2.331</v>
      </c>
      <c r="F109" s="258">
        <v>1</v>
      </c>
      <c r="G109" s="256">
        <v>0</v>
      </c>
      <c r="H109" s="258">
        <v>0</v>
      </c>
      <c r="I109" s="256">
        <v>0</v>
      </c>
      <c r="J109" s="27">
        <v>0</v>
      </c>
      <c r="K109" s="254">
        <v>1</v>
      </c>
      <c r="L109" s="27">
        <v>0</v>
      </c>
      <c r="M109" s="254">
        <v>0</v>
      </c>
      <c r="N109" s="27">
        <v>1</v>
      </c>
      <c r="O109" s="264">
        <v>0</v>
      </c>
    </row>
    <row r="110" spans="1:15" ht="12.75">
      <c r="A110" s="93">
        <v>108</v>
      </c>
      <c r="B110" s="115">
        <v>2026</v>
      </c>
      <c r="C110" s="254">
        <v>0</v>
      </c>
      <c r="D110" s="27">
        <v>51</v>
      </c>
      <c r="E110" s="255">
        <v>2.467</v>
      </c>
      <c r="F110" s="258">
        <v>1</v>
      </c>
      <c r="G110" s="256">
        <v>0</v>
      </c>
      <c r="H110" s="258">
        <v>0</v>
      </c>
      <c r="I110" s="256">
        <v>0</v>
      </c>
      <c r="J110" s="27">
        <v>0</v>
      </c>
      <c r="K110" s="254">
        <v>1</v>
      </c>
      <c r="L110" s="27">
        <v>0</v>
      </c>
      <c r="M110" s="254">
        <v>0</v>
      </c>
      <c r="N110" s="27">
        <v>1</v>
      </c>
      <c r="O110" s="264">
        <v>0</v>
      </c>
    </row>
    <row r="111" spans="1:15" ht="12.75">
      <c r="A111" s="93">
        <v>109</v>
      </c>
      <c r="B111" s="115">
        <v>285</v>
      </c>
      <c r="C111" s="254">
        <v>0</v>
      </c>
      <c r="D111" s="27">
        <v>55</v>
      </c>
      <c r="E111" s="255">
        <v>3.313</v>
      </c>
      <c r="F111" s="258">
        <v>0</v>
      </c>
      <c r="G111" s="256">
        <v>1</v>
      </c>
      <c r="H111" s="258">
        <v>0</v>
      </c>
      <c r="I111" s="256">
        <v>0</v>
      </c>
      <c r="J111" s="27">
        <v>1</v>
      </c>
      <c r="K111" s="254">
        <v>0</v>
      </c>
      <c r="L111" s="27">
        <v>0</v>
      </c>
      <c r="M111" s="254">
        <v>1</v>
      </c>
      <c r="N111" s="27">
        <v>0</v>
      </c>
      <c r="O111" s="264">
        <v>0</v>
      </c>
    </row>
    <row r="112" spans="1:15" ht="12.75">
      <c r="A112" s="93">
        <v>110</v>
      </c>
      <c r="B112" s="115">
        <v>1705</v>
      </c>
      <c r="C112" s="254">
        <v>1</v>
      </c>
      <c r="D112" s="27">
        <v>52</v>
      </c>
      <c r="E112" s="255">
        <v>3.493</v>
      </c>
      <c r="F112" s="258">
        <v>0</v>
      </c>
      <c r="G112" s="256">
        <v>0</v>
      </c>
      <c r="H112" s="258">
        <v>1</v>
      </c>
      <c r="I112" s="256">
        <v>0</v>
      </c>
      <c r="J112" s="27">
        <v>1</v>
      </c>
      <c r="K112" s="254">
        <v>0</v>
      </c>
      <c r="L112" s="27">
        <v>0</v>
      </c>
      <c r="M112" s="254">
        <v>1</v>
      </c>
      <c r="N112" s="27">
        <v>0</v>
      </c>
      <c r="O112" s="264">
        <v>0</v>
      </c>
    </row>
    <row r="113" spans="1:15" ht="12.75">
      <c r="A113" s="93">
        <v>111</v>
      </c>
      <c r="B113" s="115">
        <v>811</v>
      </c>
      <c r="C113" s="254">
        <v>1</v>
      </c>
      <c r="D113" s="27">
        <v>50</v>
      </c>
      <c r="E113" s="255">
        <v>3.432</v>
      </c>
      <c r="F113" s="258">
        <v>0</v>
      </c>
      <c r="G113" s="256">
        <v>1</v>
      </c>
      <c r="H113" s="258">
        <v>0</v>
      </c>
      <c r="I113" s="256">
        <v>0</v>
      </c>
      <c r="J113" s="27">
        <v>0</v>
      </c>
      <c r="K113" s="254">
        <v>1</v>
      </c>
      <c r="L113" s="27">
        <v>0</v>
      </c>
      <c r="M113" s="254">
        <v>1</v>
      </c>
      <c r="N113" s="27">
        <v>0</v>
      </c>
      <c r="O113" s="264">
        <v>0</v>
      </c>
    </row>
    <row r="114" spans="1:15" ht="12.75">
      <c r="A114" s="93">
        <v>112</v>
      </c>
      <c r="B114" s="115">
        <v>3651</v>
      </c>
      <c r="C114" s="254">
        <v>1</v>
      </c>
      <c r="D114" s="27">
        <v>54</v>
      </c>
      <c r="E114" s="255">
        <v>3.737</v>
      </c>
      <c r="F114" s="258">
        <v>0</v>
      </c>
      <c r="G114" s="256">
        <v>0</v>
      </c>
      <c r="H114" s="258">
        <v>1</v>
      </c>
      <c r="I114" s="256">
        <v>0</v>
      </c>
      <c r="J114" s="27">
        <v>0</v>
      </c>
      <c r="K114" s="254">
        <v>1</v>
      </c>
      <c r="L114" s="27">
        <v>0</v>
      </c>
      <c r="M114" s="254">
        <v>1</v>
      </c>
      <c r="N114" s="27">
        <v>0</v>
      </c>
      <c r="O114" s="264">
        <v>0</v>
      </c>
    </row>
    <row r="115" spans="1:15" ht="12.75">
      <c r="A115" s="93">
        <v>113</v>
      </c>
      <c r="B115" s="115">
        <v>1695</v>
      </c>
      <c r="C115" s="254">
        <v>1</v>
      </c>
      <c r="D115" s="27">
        <v>55</v>
      </c>
      <c r="E115" s="255">
        <v>3.071</v>
      </c>
      <c r="F115" s="258">
        <v>0</v>
      </c>
      <c r="G115" s="256">
        <v>1</v>
      </c>
      <c r="H115" s="258">
        <v>0</v>
      </c>
      <c r="I115" s="256">
        <v>0</v>
      </c>
      <c r="J115" s="27">
        <v>0</v>
      </c>
      <c r="K115" s="254">
        <v>1</v>
      </c>
      <c r="L115" s="27">
        <v>0</v>
      </c>
      <c r="M115" s="254">
        <v>1</v>
      </c>
      <c r="N115" s="27">
        <v>0</v>
      </c>
      <c r="O115" s="264">
        <v>0</v>
      </c>
    </row>
    <row r="116" spans="1:15" ht="12.75">
      <c r="A116" s="93">
        <v>114</v>
      </c>
      <c r="B116" s="115">
        <v>259</v>
      </c>
      <c r="C116" s="254">
        <v>0</v>
      </c>
      <c r="D116" s="27">
        <v>52</v>
      </c>
      <c r="E116" s="255">
        <v>2.96</v>
      </c>
      <c r="F116" s="258">
        <v>1</v>
      </c>
      <c r="G116" s="256">
        <v>0</v>
      </c>
      <c r="H116" s="258">
        <v>0</v>
      </c>
      <c r="I116" s="256">
        <v>0</v>
      </c>
      <c r="J116" s="27">
        <v>0</v>
      </c>
      <c r="K116" s="254">
        <v>1</v>
      </c>
      <c r="L116" s="27">
        <v>0</v>
      </c>
      <c r="M116" s="254">
        <v>0</v>
      </c>
      <c r="N116" s="27">
        <v>1</v>
      </c>
      <c r="O116" s="264">
        <v>0</v>
      </c>
    </row>
    <row r="117" spans="1:15" ht="12.75">
      <c r="A117" s="93">
        <v>115</v>
      </c>
      <c r="B117" s="115">
        <v>4256</v>
      </c>
      <c r="C117" s="254">
        <v>1</v>
      </c>
      <c r="D117" s="27">
        <v>52</v>
      </c>
      <c r="E117" s="255">
        <v>3.234</v>
      </c>
      <c r="F117" s="258">
        <v>0</v>
      </c>
      <c r="G117" s="256">
        <v>1</v>
      </c>
      <c r="H117" s="258">
        <v>0</v>
      </c>
      <c r="I117" s="256">
        <v>0</v>
      </c>
      <c r="J117" s="27">
        <v>0</v>
      </c>
      <c r="K117" s="254">
        <v>1</v>
      </c>
      <c r="L117" s="27">
        <v>0</v>
      </c>
      <c r="M117" s="254">
        <v>0</v>
      </c>
      <c r="N117" s="27">
        <v>1</v>
      </c>
      <c r="O117" s="264">
        <v>0</v>
      </c>
    </row>
    <row r="118" spans="1:15" ht="12.75">
      <c r="A118" s="93">
        <v>116</v>
      </c>
      <c r="B118" s="115">
        <v>478</v>
      </c>
      <c r="C118" s="254">
        <v>0</v>
      </c>
      <c r="D118" s="27">
        <v>54</v>
      </c>
      <c r="E118" s="255">
        <v>3.643</v>
      </c>
      <c r="F118" s="258">
        <v>0</v>
      </c>
      <c r="G118" s="256">
        <v>0</v>
      </c>
      <c r="H118" s="258">
        <v>1</v>
      </c>
      <c r="I118" s="256">
        <v>0</v>
      </c>
      <c r="J118" s="27">
        <v>0</v>
      </c>
      <c r="K118" s="254">
        <v>1</v>
      </c>
      <c r="L118" s="27">
        <v>0</v>
      </c>
      <c r="M118" s="254">
        <v>1</v>
      </c>
      <c r="N118" s="27">
        <v>0</v>
      </c>
      <c r="O118" s="264">
        <v>0</v>
      </c>
    </row>
    <row r="119" spans="1:15" ht="12.75">
      <c r="A119" s="93">
        <v>117</v>
      </c>
      <c r="B119" s="115">
        <v>4148</v>
      </c>
      <c r="C119" s="254">
        <v>0</v>
      </c>
      <c r="D119" s="27">
        <v>52</v>
      </c>
      <c r="E119" s="255">
        <v>4.719</v>
      </c>
      <c r="F119" s="258">
        <v>0</v>
      </c>
      <c r="G119" s="256">
        <v>0</v>
      </c>
      <c r="H119" s="258">
        <v>0</v>
      </c>
      <c r="I119" s="256">
        <v>1</v>
      </c>
      <c r="J119" s="27">
        <v>1</v>
      </c>
      <c r="K119" s="254">
        <v>0</v>
      </c>
      <c r="L119" s="27">
        <v>0</v>
      </c>
      <c r="M119" s="254">
        <v>1</v>
      </c>
      <c r="N119" s="27">
        <v>0</v>
      </c>
      <c r="O119" s="264">
        <v>0</v>
      </c>
    </row>
    <row r="120" spans="1:15" ht="12.75">
      <c r="A120" s="93">
        <v>118</v>
      </c>
      <c r="B120" s="115">
        <v>4544</v>
      </c>
      <c r="C120" s="254">
        <v>0</v>
      </c>
      <c r="D120" s="27">
        <v>53</v>
      </c>
      <c r="E120" s="255">
        <v>3.646</v>
      </c>
      <c r="F120" s="258">
        <v>0</v>
      </c>
      <c r="G120" s="256">
        <v>0</v>
      </c>
      <c r="H120" s="258">
        <v>1</v>
      </c>
      <c r="I120" s="256">
        <v>0</v>
      </c>
      <c r="J120" s="27">
        <v>0</v>
      </c>
      <c r="K120" s="254">
        <v>1</v>
      </c>
      <c r="L120" s="27">
        <v>0</v>
      </c>
      <c r="M120" s="254">
        <v>0</v>
      </c>
      <c r="N120" s="27">
        <v>0</v>
      </c>
      <c r="O120" s="264">
        <v>1</v>
      </c>
    </row>
    <row r="121" spans="1:15" ht="12.75">
      <c r="A121" s="93">
        <v>119</v>
      </c>
      <c r="B121" s="115">
        <v>2197</v>
      </c>
      <c r="C121" s="254">
        <v>1</v>
      </c>
      <c r="D121" s="27">
        <v>51</v>
      </c>
      <c r="E121" s="255">
        <v>4.048</v>
      </c>
      <c r="F121" s="258">
        <v>0</v>
      </c>
      <c r="G121" s="256">
        <v>0</v>
      </c>
      <c r="H121" s="258">
        <v>0</v>
      </c>
      <c r="I121" s="256">
        <v>1</v>
      </c>
      <c r="J121" s="27">
        <v>0</v>
      </c>
      <c r="K121" s="254">
        <v>1</v>
      </c>
      <c r="L121" s="27">
        <v>0</v>
      </c>
      <c r="M121" s="254">
        <v>1</v>
      </c>
      <c r="N121" s="27">
        <v>0</v>
      </c>
      <c r="O121" s="264">
        <v>0</v>
      </c>
    </row>
    <row r="122" spans="1:15" ht="12.75">
      <c r="A122" s="93">
        <v>120</v>
      </c>
      <c r="B122" s="115">
        <v>2111</v>
      </c>
      <c r="C122" s="254">
        <v>1</v>
      </c>
      <c r="D122" s="27">
        <v>52</v>
      </c>
      <c r="E122" s="255">
        <v>3.334</v>
      </c>
      <c r="F122" s="258">
        <v>0</v>
      </c>
      <c r="G122" s="256">
        <v>1</v>
      </c>
      <c r="H122" s="258">
        <v>0</v>
      </c>
      <c r="I122" s="256">
        <v>0</v>
      </c>
      <c r="J122" s="27">
        <v>0</v>
      </c>
      <c r="K122" s="254">
        <v>1</v>
      </c>
      <c r="L122" s="27">
        <v>0</v>
      </c>
      <c r="M122" s="254">
        <v>0</v>
      </c>
      <c r="N122" s="27">
        <v>1</v>
      </c>
      <c r="O122" s="264">
        <v>0</v>
      </c>
    </row>
    <row r="123" spans="1:15" ht="12.75">
      <c r="A123" s="93">
        <v>121</v>
      </c>
      <c r="B123" s="115">
        <v>3376</v>
      </c>
      <c r="C123" s="254">
        <v>0</v>
      </c>
      <c r="D123" s="27">
        <v>54</v>
      </c>
      <c r="E123" s="255">
        <v>3.819</v>
      </c>
      <c r="F123" s="258">
        <v>0</v>
      </c>
      <c r="G123" s="256">
        <v>0</v>
      </c>
      <c r="H123" s="258">
        <v>1</v>
      </c>
      <c r="I123" s="256">
        <v>0</v>
      </c>
      <c r="J123" s="27">
        <v>0</v>
      </c>
      <c r="K123" s="254">
        <v>1</v>
      </c>
      <c r="L123" s="27">
        <v>0</v>
      </c>
      <c r="M123" s="254">
        <v>0</v>
      </c>
      <c r="N123" s="27">
        <v>1</v>
      </c>
      <c r="O123" s="264">
        <v>0</v>
      </c>
    </row>
    <row r="124" spans="1:15" ht="12.75">
      <c r="A124" s="93">
        <v>122</v>
      </c>
      <c r="B124" s="115">
        <v>3031</v>
      </c>
      <c r="C124" s="254">
        <v>0</v>
      </c>
      <c r="D124" s="27">
        <v>54</v>
      </c>
      <c r="E124" s="255">
        <v>3.763</v>
      </c>
      <c r="F124" s="258">
        <v>0</v>
      </c>
      <c r="G124" s="256">
        <v>0</v>
      </c>
      <c r="H124" s="258">
        <v>1</v>
      </c>
      <c r="I124" s="256">
        <v>0</v>
      </c>
      <c r="J124" s="27">
        <v>0</v>
      </c>
      <c r="K124" s="254">
        <v>1</v>
      </c>
      <c r="L124" s="27">
        <v>0</v>
      </c>
      <c r="M124" s="254">
        <v>0</v>
      </c>
      <c r="N124" s="27">
        <v>1</v>
      </c>
      <c r="O124" s="264">
        <v>0</v>
      </c>
    </row>
    <row r="125" spans="1:15" ht="12.75">
      <c r="A125" s="93">
        <v>123</v>
      </c>
      <c r="B125" s="115">
        <v>15</v>
      </c>
      <c r="C125" s="254">
        <v>0</v>
      </c>
      <c r="D125" s="27">
        <v>55</v>
      </c>
      <c r="E125" s="255">
        <v>3.748</v>
      </c>
      <c r="F125" s="258">
        <v>0</v>
      </c>
      <c r="G125" s="256">
        <v>0</v>
      </c>
      <c r="H125" s="258">
        <v>1</v>
      </c>
      <c r="I125" s="256">
        <v>0</v>
      </c>
      <c r="J125" s="27">
        <v>1</v>
      </c>
      <c r="K125" s="254">
        <v>0</v>
      </c>
      <c r="L125" s="27">
        <v>0</v>
      </c>
      <c r="M125" s="254">
        <v>1</v>
      </c>
      <c r="N125" s="27">
        <v>0</v>
      </c>
      <c r="O125" s="264">
        <v>0</v>
      </c>
    </row>
    <row r="126" spans="1:15" ht="12.75">
      <c r="A126" s="93">
        <v>124</v>
      </c>
      <c r="B126" s="115">
        <v>2081</v>
      </c>
      <c r="C126" s="254">
        <v>0</v>
      </c>
      <c r="D126" s="27">
        <v>53</v>
      </c>
      <c r="E126" s="255">
        <v>3.17</v>
      </c>
      <c r="F126" s="258">
        <v>0</v>
      </c>
      <c r="G126" s="256">
        <v>1</v>
      </c>
      <c r="H126" s="258">
        <v>0</v>
      </c>
      <c r="I126" s="256">
        <v>0</v>
      </c>
      <c r="J126" s="27">
        <v>0</v>
      </c>
      <c r="K126" s="254">
        <v>1</v>
      </c>
      <c r="L126" s="27">
        <v>0</v>
      </c>
      <c r="M126" s="254">
        <v>0</v>
      </c>
      <c r="N126" s="27">
        <v>0</v>
      </c>
      <c r="O126" s="264">
        <v>1</v>
      </c>
    </row>
    <row r="127" spans="1:15" ht="12.75">
      <c r="A127" s="93">
        <v>125</v>
      </c>
      <c r="B127" s="115">
        <v>3034</v>
      </c>
      <c r="C127" s="254">
        <v>1</v>
      </c>
      <c r="D127" s="27">
        <v>54</v>
      </c>
      <c r="E127" s="255">
        <v>3.763</v>
      </c>
      <c r="F127" s="258">
        <v>0</v>
      </c>
      <c r="G127" s="256">
        <v>0</v>
      </c>
      <c r="H127" s="258">
        <v>0</v>
      </c>
      <c r="I127" s="256">
        <v>1</v>
      </c>
      <c r="J127" s="27">
        <v>0</v>
      </c>
      <c r="K127" s="254">
        <v>0</v>
      </c>
      <c r="L127" s="27">
        <v>1</v>
      </c>
      <c r="M127" s="254">
        <v>0</v>
      </c>
      <c r="N127" s="27">
        <v>0</v>
      </c>
      <c r="O127" s="264">
        <v>1</v>
      </c>
    </row>
    <row r="128" spans="1:15" ht="12.75">
      <c r="A128" s="93">
        <v>126</v>
      </c>
      <c r="B128" s="115">
        <v>4146</v>
      </c>
      <c r="C128" s="254">
        <v>1</v>
      </c>
      <c r="D128" s="27">
        <v>52</v>
      </c>
      <c r="E128" s="255">
        <v>2.744</v>
      </c>
      <c r="F128" s="258">
        <v>1</v>
      </c>
      <c r="G128" s="256">
        <v>0</v>
      </c>
      <c r="H128" s="258">
        <v>0</v>
      </c>
      <c r="I128" s="256">
        <v>0</v>
      </c>
      <c r="J128" s="27">
        <v>0</v>
      </c>
      <c r="K128" s="254">
        <v>1</v>
      </c>
      <c r="L128" s="27">
        <v>0</v>
      </c>
      <c r="M128" s="254">
        <v>0</v>
      </c>
      <c r="N128" s="27">
        <v>1</v>
      </c>
      <c r="O128" s="264">
        <v>0</v>
      </c>
    </row>
    <row r="129" spans="1:15" ht="12.75">
      <c r="A129" s="93">
        <v>127</v>
      </c>
      <c r="B129" s="115">
        <v>2708</v>
      </c>
      <c r="C129" s="254">
        <v>1</v>
      </c>
      <c r="D129" s="27">
        <v>55</v>
      </c>
      <c r="E129" s="255">
        <v>3.089</v>
      </c>
      <c r="F129" s="258">
        <v>0</v>
      </c>
      <c r="G129" s="256">
        <v>1</v>
      </c>
      <c r="H129" s="258">
        <v>0</v>
      </c>
      <c r="I129" s="256">
        <v>0</v>
      </c>
      <c r="J129" s="27">
        <v>0</v>
      </c>
      <c r="K129" s="254">
        <v>1</v>
      </c>
      <c r="L129" s="27">
        <v>0</v>
      </c>
      <c r="M129" s="254">
        <v>0</v>
      </c>
      <c r="N129" s="27">
        <v>1</v>
      </c>
      <c r="O129" s="264">
        <v>0</v>
      </c>
    </row>
    <row r="130" spans="1:15" ht="12.75">
      <c r="A130" s="93">
        <v>128</v>
      </c>
      <c r="B130" s="115">
        <v>711</v>
      </c>
      <c r="C130" s="254">
        <v>1</v>
      </c>
      <c r="D130" s="27">
        <v>50</v>
      </c>
      <c r="E130" s="255">
        <v>3.459</v>
      </c>
      <c r="F130" s="258">
        <v>0</v>
      </c>
      <c r="G130" s="256">
        <v>1</v>
      </c>
      <c r="H130" s="258">
        <v>0</v>
      </c>
      <c r="I130" s="256">
        <v>0</v>
      </c>
      <c r="J130" s="27">
        <v>0</v>
      </c>
      <c r="K130" s="254">
        <v>1</v>
      </c>
      <c r="L130" s="27">
        <v>0</v>
      </c>
      <c r="M130" s="254">
        <v>1</v>
      </c>
      <c r="N130" s="27">
        <v>0</v>
      </c>
      <c r="O130" s="264">
        <v>0</v>
      </c>
    </row>
    <row r="131" spans="1:15" ht="12.75">
      <c r="A131" s="93">
        <v>129</v>
      </c>
      <c r="B131" s="115">
        <v>3332</v>
      </c>
      <c r="C131" s="254">
        <v>0</v>
      </c>
      <c r="D131" s="27">
        <v>55</v>
      </c>
      <c r="E131" s="255">
        <v>3.472</v>
      </c>
      <c r="F131" s="258">
        <v>0</v>
      </c>
      <c r="G131" s="256">
        <v>1</v>
      </c>
      <c r="H131" s="258">
        <v>0</v>
      </c>
      <c r="I131" s="256">
        <v>0</v>
      </c>
      <c r="J131" s="27">
        <v>0</v>
      </c>
      <c r="K131" s="254">
        <v>1</v>
      </c>
      <c r="L131" s="27">
        <v>0</v>
      </c>
      <c r="M131" s="254">
        <v>0</v>
      </c>
      <c r="N131" s="27">
        <v>1</v>
      </c>
      <c r="O131" s="264">
        <v>0</v>
      </c>
    </row>
    <row r="132" spans="1:15" ht="12.75">
      <c r="A132" s="93">
        <v>130</v>
      </c>
      <c r="B132" s="115">
        <v>2935</v>
      </c>
      <c r="C132" s="254">
        <v>0</v>
      </c>
      <c r="D132" s="27">
        <v>55</v>
      </c>
      <c r="E132" s="255">
        <v>4.434</v>
      </c>
      <c r="F132" s="258">
        <v>0</v>
      </c>
      <c r="G132" s="256">
        <v>0</v>
      </c>
      <c r="H132" s="258">
        <v>0</v>
      </c>
      <c r="I132" s="256">
        <v>1</v>
      </c>
      <c r="J132" s="27">
        <v>0</v>
      </c>
      <c r="K132" s="254">
        <v>1</v>
      </c>
      <c r="L132" s="27">
        <v>0</v>
      </c>
      <c r="M132" s="254">
        <v>1</v>
      </c>
      <c r="N132" s="27">
        <v>0</v>
      </c>
      <c r="O132" s="264">
        <v>0</v>
      </c>
    </row>
    <row r="133" spans="1:15" ht="12.75">
      <c r="A133" s="93">
        <v>131</v>
      </c>
      <c r="B133" s="115">
        <v>3001</v>
      </c>
      <c r="C133" s="254">
        <v>1</v>
      </c>
      <c r="D133" s="27">
        <v>53</v>
      </c>
      <c r="E133" s="255">
        <v>2.177</v>
      </c>
      <c r="F133" s="258">
        <v>0</v>
      </c>
      <c r="G133" s="256">
        <v>1</v>
      </c>
      <c r="H133" s="258">
        <v>0</v>
      </c>
      <c r="I133" s="256">
        <v>0</v>
      </c>
      <c r="J133" s="27">
        <v>0</v>
      </c>
      <c r="K133" s="254">
        <v>1</v>
      </c>
      <c r="L133" s="27">
        <v>0</v>
      </c>
      <c r="M133" s="254">
        <v>1</v>
      </c>
      <c r="N133" s="27">
        <v>0</v>
      </c>
      <c r="O133" s="264">
        <v>0</v>
      </c>
    </row>
    <row r="134" spans="1:15" ht="12.75">
      <c r="A134" s="93">
        <v>132</v>
      </c>
      <c r="B134" s="115">
        <v>3972</v>
      </c>
      <c r="C134" s="254">
        <v>0</v>
      </c>
      <c r="D134" s="27">
        <v>54</v>
      </c>
      <c r="E134" s="255">
        <v>3.713</v>
      </c>
      <c r="F134" s="258">
        <v>0</v>
      </c>
      <c r="G134" s="256">
        <v>0</v>
      </c>
      <c r="H134" s="258">
        <v>1</v>
      </c>
      <c r="I134" s="256">
        <v>0</v>
      </c>
      <c r="J134" s="27">
        <v>0</v>
      </c>
      <c r="K134" s="254">
        <v>0</v>
      </c>
      <c r="L134" s="27">
        <v>1</v>
      </c>
      <c r="M134" s="254">
        <v>0</v>
      </c>
      <c r="N134" s="27">
        <v>1</v>
      </c>
      <c r="O134" s="264">
        <v>0</v>
      </c>
    </row>
    <row r="135" spans="1:15" ht="12.75">
      <c r="A135" s="93">
        <v>133</v>
      </c>
      <c r="B135" s="115">
        <v>455</v>
      </c>
      <c r="C135" s="254">
        <v>0</v>
      </c>
      <c r="D135" s="27">
        <v>53</v>
      </c>
      <c r="E135" s="255">
        <v>4.038</v>
      </c>
      <c r="F135" s="258">
        <v>0</v>
      </c>
      <c r="G135" s="256">
        <v>0</v>
      </c>
      <c r="H135" s="258">
        <v>0</v>
      </c>
      <c r="I135" s="256">
        <v>1</v>
      </c>
      <c r="J135" s="27">
        <v>0</v>
      </c>
      <c r="K135" s="254">
        <v>1</v>
      </c>
      <c r="L135" s="27">
        <v>0</v>
      </c>
      <c r="M135" s="254">
        <v>0</v>
      </c>
      <c r="N135" s="27">
        <v>1</v>
      </c>
      <c r="O135" s="264">
        <v>0</v>
      </c>
    </row>
    <row r="136" spans="1:15" ht="12.75">
      <c r="A136" s="93">
        <v>134</v>
      </c>
      <c r="B136" s="115">
        <v>876</v>
      </c>
      <c r="C136" s="254">
        <v>1</v>
      </c>
      <c r="D136" s="27">
        <v>53</v>
      </c>
      <c r="E136" s="255">
        <v>3.749</v>
      </c>
      <c r="F136" s="258">
        <v>0</v>
      </c>
      <c r="G136" s="256">
        <v>0</v>
      </c>
      <c r="H136" s="258">
        <v>1</v>
      </c>
      <c r="I136" s="256">
        <v>0</v>
      </c>
      <c r="J136" s="27">
        <v>0</v>
      </c>
      <c r="K136" s="254">
        <v>1</v>
      </c>
      <c r="L136" s="27">
        <v>0</v>
      </c>
      <c r="M136" s="254">
        <v>1</v>
      </c>
      <c r="N136" s="27">
        <v>0</v>
      </c>
      <c r="O136" s="264">
        <v>0</v>
      </c>
    </row>
    <row r="137" spans="1:15" ht="12.75">
      <c r="A137" s="93">
        <v>135</v>
      </c>
      <c r="B137" s="115">
        <v>2709</v>
      </c>
      <c r="C137" s="254">
        <v>1</v>
      </c>
      <c r="D137" s="27">
        <v>55</v>
      </c>
      <c r="E137" s="255">
        <v>3.539</v>
      </c>
      <c r="F137" s="258">
        <v>0</v>
      </c>
      <c r="G137" s="256">
        <v>0</v>
      </c>
      <c r="H137" s="258">
        <v>1</v>
      </c>
      <c r="I137" s="256">
        <v>0</v>
      </c>
      <c r="J137" s="27">
        <v>0</v>
      </c>
      <c r="K137" s="254">
        <v>1</v>
      </c>
      <c r="L137" s="27">
        <v>0</v>
      </c>
      <c r="M137" s="254">
        <v>1</v>
      </c>
      <c r="N137" s="27">
        <v>0</v>
      </c>
      <c r="O137" s="264">
        <v>0</v>
      </c>
    </row>
    <row r="138" spans="1:15" ht="12.75">
      <c r="A138" s="93">
        <v>136</v>
      </c>
      <c r="B138" s="115">
        <v>527</v>
      </c>
      <c r="C138" s="254">
        <v>1</v>
      </c>
      <c r="D138" s="27">
        <v>55</v>
      </c>
      <c r="E138" s="255">
        <v>4.569</v>
      </c>
      <c r="F138" s="258">
        <v>0</v>
      </c>
      <c r="G138" s="256">
        <v>0</v>
      </c>
      <c r="H138" s="258">
        <v>0</v>
      </c>
      <c r="I138" s="256">
        <v>1</v>
      </c>
      <c r="J138" s="27">
        <v>0</v>
      </c>
      <c r="K138" s="254">
        <v>0</v>
      </c>
      <c r="L138" s="27">
        <v>1</v>
      </c>
      <c r="M138" s="254">
        <v>0</v>
      </c>
      <c r="N138" s="27">
        <v>1</v>
      </c>
      <c r="O138" s="264">
        <v>0</v>
      </c>
    </row>
    <row r="139" spans="1:15" ht="12.75">
      <c r="A139" s="93">
        <v>137</v>
      </c>
      <c r="B139" s="115">
        <v>2997</v>
      </c>
      <c r="C139" s="254">
        <v>1</v>
      </c>
      <c r="D139" s="27">
        <v>51</v>
      </c>
      <c r="E139" s="255">
        <v>4.094</v>
      </c>
      <c r="F139" s="258">
        <v>0</v>
      </c>
      <c r="G139" s="256">
        <v>0</v>
      </c>
      <c r="H139" s="258">
        <v>0</v>
      </c>
      <c r="I139" s="256">
        <v>1</v>
      </c>
      <c r="J139" s="27">
        <v>0</v>
      </c>
      <c r="K139" s="254">
        <v>1</v>
      </c>
      <c r="L139" s="27">
        <v>0</v>
      </c>
      <c r="M139" s="254">
        <v>0</v>
      </c>
      <c r="N139" s="27">
        <v>1</v>
      </c>
      <c r="O139" s="264">
        <v>0</v>
      </c>
    </row>
    <row r="140" spans="1:15" ht="12.75">
      <c r="A140" s="93">
        <v>138</v>
      </c>
      <c r="B140" s="115">
        <v>4282</v>
      </c>
      <c r="C140" s="254">
        <v>1</v>
      </c>
      <c r="D140" s="27">
        <v>53</v>
      </c>
      <c r="E140" s="255">
        <v>3.314</v>
      </c>
      <c r="F140" s="258">
        <v>0</v>
      </c>
      <c r="G140" s="256">
        <v>1</v>
      </c>
      <c r="H140" s="258">
        <v>0</v>
      </c>
      <c r="I140" s="256">
        <v>0</v>
      </c>
      <c r="J140" s="27">
        <v>0</v>
      </c>
      <c r="K140" s="254">
        <v>1</v>
      </c>
      <c r="L140" s="27">
        <v>0</v>
      </c>
      <c r="M140" s="254">
        <v>0</v>
      </c>
      <c r="N140" s="27">
        <v>1</v>
      </c>
      <c r="O140" s="264">
        <v>0</v>
      </c>
    </row>
    <row r="141" spans="1:15" ht="12.75">
      <c r="A141" s="93">
        <v>139</v>
      </c>
      <c r="B141" s="115">
        <v>771</v>
      </c>
      <c r="C141" s="254">
        <v>0</v>
      </c>
      <c r="D141" s="27">
        <v>54</v>
      </c>
      <c r="E141" s="255">
        <v>2.953</v>
      </c>
      <c r="F141" s="258">
        <v>1</v>
      </c>
      <c r="G141" s="256">
        <v>0</v>
      </c>
      <c r="H141" s="258">
        <v>0</v>
      </c>
      <c r="I141" s="256">
        <v>0</v>
      </c>
      <c r="J141" s="27">
        <v>0</v>
      </c>
      <c r="K141" s="254">
        <v>1</v>
      </c>
      <c r="L141" s="27">
        <v>0</v>
      </c>
      <c r="M141" s="254">
        <v>0</v>
      </c>
      <c r="N141" s="27">
        <v>1</v>
      </c>
      <c r="O141" s="264">
        <v>0</v>
      </c>
    </row>
    <row r="142" spans="1:15" ht="12.75">
      <c r="A142" s="93">
        <v>140</v>
      </c>
      <c r="B142" s="115">
        <v>2050</v>
      </c>
      <c r="C142" s="254">
        <v>1</v>
      </c>
      <c r="D142" s="27">
        <v>52</v>
      </c>
      <c r="E142" s="255">
        <v>3.323</v>
      </c>
      <c r="F142" s="258">
        <v>0</v>
      </c>
      <c r="G142" s="256">
        <v>1</v>
      </c>
      <c r="H142" s="258">
        <v>0</v>
      </c>
      <c r="I142" s="256">
        <v>0</v>
      </c>
      <c r="J142" s="27">
        <v>0</v>
      </c>
      <c r="K142" s="254">
        <v>1</v>
      </c>
      <c r="L142" s="27">
        <v>0</v>
      </c>
      <c r="M142" s="254">
        <v>0</v>
      </c>
      <c r="N142" s="27">
        <v>0</v>
      </c>
      <c r="O142" s="264">
        <v>1</v>
      </c>
    </row>
    <row r="143" spans="1:15" ht="12.75">
      <c r="A143" s="93">
        <v>141</v>
      </c>
      <c r="B143" s="115">
        <v>3013</v>
      </c>
      <c r="C143" s="254">
        <v>1</v>
      </c>
      <c r="D143" s="27">
        <v>51</v>
      </c>
      <c r="E143" s="255">
        <v>4.401</v>
      </c>
      <c r="F143" s="258">
        <v>0</v>
      </c>
      <c r="G143" s="256">
        <v>0</v>
      </c>
      <c r="H143" s="258">
        <v>0</v>
      </c>
      <c r="I143" s="256">
        <v>1</v>
      </c>
      <c r="J143" s="27">
        <v>0</v>
      </c>
      <c r="K143" s="254">
        <v>0</v>
      </c>
      <c r="L143" s="27">
        <v>1</v>
      </c>
      <c r="M143" s="254">
        <v>0</v>
      </c>
      <c r="N143" s="27">
        <v>1</v>
      </c>
      <c r="O143" s="264">
        <v>0</v>
      </c>
    </row>
    <row r="144" spans="1:15" ht="12.75">
      <c r="A144" s="93">
        <v>142</v>
      </c>
      <c r="B144" s="115">
        <v>758</v>
      </c>
      <c r="C144" s="254">
        <v>1</v>
      </c>
      <c r="D144" s="27">
        <v>52</v>
      </c>
      <c r="E144" s="255">
        <v>2.751</v>
      </c>
      <c r="F144" s="258">
        <v>1</v>
      </c>
      <c r="G144" s="256">
        <v>0</v>
      </c>
      <c r="H144" s="258">
        <v>0</v>
      </c>
      <c r="I144" s="256">
        <v>0</v>
      </c>
      <c r="J144" s="27">
        <v>0</v>
      </c>
      <c r="K144" s="254">
        <v>1</v>
      </c>
      <c r="L144" s="27">
        <v>0</v>
      </c>
      <c r="M144" s="254">
        <v>1</v>
      </c>
      <c r="N144" s="27">
        <v>0</v>
      </c>
      <c r="O144" s="264">
        <v>0</v>
      </c>
    </row>
    <row r="145" spans="1:15" ht="12.75">
      <c r="A145" s="93">
        <v>143</v>
      </c>
      <c r="B145" s="115">
        <v>2545</v>
      </c>
      <c r="C145" s="254">
        <v>0</v>
      </c>
      <c r="D145" s="27">
        <v>51</v>
      </c>
      <c r="E145" s="255">
        <v>4.049</v>
      </c>
      <c r="F145" s="258">
        <v>0</v>
      </c>
      <c r="G145" s="256">
        <v>0</v>
      </c>
      <c r="H145" s="258">
        <v>0</v>
      </c>
      <c r="I145" s="256">
        <v>1</v>
      </c>
      <c r="J145" s="27">
        <v>0</v>
      </c>
      <c r="K145" s="254">
        <v>1</v>
      </c>
      <c r="L145" s="27">
        <v>0</v>
      </c>
      <c r="M145" s="254">
        <v>0</v>
      </c>
      <c r="N145" s="27">
        <v>1</v>
      </c>
      <c r="O145" s="264">
        <v>0</v>
      </c>
    </row>
    <row r="146" spans="1:15" ht="12.75">
      <c r="A146" s="93">
        <v>144</v>
      </c>
      <c r="B146" s="115">
        <v>1104</v>
      </c>
      <c r="C146" s="254">
        <v>0</v>
      </c>
      <c r="D146" s="27">
        <v>53</v>
      </c>
      <c r="E146" s="255">
        <v>3.83</v>
      </c>
      <c r="F146" s="258">
        <v>0</v>
      </c>
      <c r="G146" s="256">
        <v>0</v>
      </c>
      <c r="H146" s="258">
        <v>1</v>
      </c>
      <c r="I146" s="256">
        <v>0</v>
      </c>
      <c r="J146" s="27">
        <v>0</v>
      </c>
      <c r="K146" s="254">
        <v>0</v>
      </c>
      <c r="L146" s="27">
        <v>1</v>
      </c>
      <c r="M146" s="254">
        <v>0</v>
      </c>
      <c r="N146" s="27">
        <v>1</v>
      </c>
      <c r="O146" s="264">
        <v>0</v>
      </c>
    </row>
    <row r="147" spans="1:15" ht="12.75">
      <c r="A147" s="93">
        <v>145</v>
      </c>
      <c r="B147" s="115">
        <v>4450</v>
      </c>
      <c r="C147" s="254">
        <v>0</v>
      </c>
      <c r="D147" s="27">
        <v>52</v>
      </c>
      <c r="E147" s="255">
        <v>2.085</v>
      </c>
      <c r="F147" s="258">
        <v>1</v>
      </c>
      <c r="G147" s="256">
        <v>0</v>
      </c>
      <c r="H147" s="258">
        <v>0</v>
      </c>
      <c r="I147" s="256">
        <v>0</v>
      </c>
      <c r="J147" s="27">
        <v>0</v>
      </c>
      <c r="K147" s="254">
        <v>1</v>
      </c>
      <c r="L147" s="27">
        <v>0</v>
      </c>
      <c r="M147" s="254">
        <v>0</v>
      </c>
      <c r="N147" s="27">
        <v>0</v>
      </c>
      <c r="O147" s="264">
        <v>1</v>
      </c>
    </row>
    <row r="148" spans="1:15" ht="12.75">
      <c r="A148" s="93">
        <v>146</v>
      </c>
      <c r="B148" s="115">
        <v>4506</v>
      </c>
      <c r="C148" s="254">
        <v>1</v>
      </c>
      <c r="D148" s="27">
        <v>52</v>
      </c>
      <c r="E148" s="255">
        <v>3.355</v>
      </c>
      <c r="F148" s="258">
        <v>0</v>
      </c>
      <c r="G148" s="256">
        <v>1</v>
      </c>
      <c r="H148" s="258">
        <v>0</v>
      </c>
      <c r="I148" s="256">
        <v>0</v>
      </c>
      <c r="J148" s="27">
        <v>0</v>
      </c>
      <c r="K148" s="254">
        <v>0</v>
      </c>
      <c r="L148" s="27">
        <v>1</v>
      </c>
      <c r="M148" s="254">
        <v>0</v>
      </c>
      <c r="N148" s="27">
        <v>0</v>
      </c>
      <c r="O148" s="264">
        <v>1</v>
      </c>
    </row>
    <row r="149" spans="1:15" ht="12.75">
      <c r="A149" s="93">
        <v>147</v>
      </c>
      <c r="B149" s="115">
        <v>837</v>
      </c>
      <c r="C149" s="254">
        <v>0</v>
      </c>
      <c r="D149" s="27">
        <v>53</v>
      </c>
      <c r="E149" s="255">
        <v>3.095</v>
      </c>
      <c r="F149" s="258">
        <v>0</v>
      </c>
      <c r="G149" s="256">
        <v>1</v>
      </c>
      <c r="H149" s="258">
        <v>0</v>
      </c>
      <c r="I149" s="256">
        <v>0</v>
      </c>
      <c r="J149" s="27">
        <v>0</v>
      </c>
      <c r="K149" s="254">
        <v>1</v>
      </c>
      <c r="L149" s="27">
        <v>0</v>
      </c>
      <c r="M149" s="254">
        <v>1</v>
      </c>
      <c r="N149" s="27">
        <v>0</v>
      </c>
      <c r="O149" s="264">
        <v>0</v>
      </c>
    </row>
    <row r="150" spans="1:15" ht="12.75">
      <c r="A150" s="93">
        <v>148</v>
      </c>
      <c r="B150" s="115">
        <v>941</v>
      </c>
      <c r="C150" s="254">
        <v>0</v>
      </c>
      <c r="D150" s="27">
        <v>52</v>
      </c>
      <c r="E150" s="255">
        <v>2.976</v>
      </c>
      <c r="F150" s="258">
        <v>1</v>
      </c>
      <c r="G150" s="256">
        <v>0</v>
      </c>
      <c r="H150" s="258">
        <v>0</v>
      </c>
      <c r="I150" s="256">
        <v>0</v>
      </c>
      <c r="J150" s="27">
        <v>0</v>
      </c>
      <c r="K150" s="254">
        <v>1</v>
      </c>
      <c r="L150" s="27">
        <v>0</v>
      </c>
      <c r="M150" s="254">
        <v>0</v>
      </c>
      <c r="N150" s="27">
        <v>0</v>
      </c>
      <c r="O150" s="264">
        <v>1</v>
      </c>
    </row>
    <row r="151" spans="1:15" ht="12.75">
      <c r="A151" s="93">
        <v>149</v>
      </c>
      <c r="B151" s="115">
        <v>591</v>
      </c>
      <c r="C151" s="254">
        <v>1</v>
      </c>
      <c r="D151" s="27">
        <v>52</v>
      </c>
      <c r="E151" s="255">
        <v>3.344</v>
      </c>
      <c r="F151" s="258">
        <v>0</v>
      </c>
      <c r="G151" s="256">
        <v>1</v>
      </c>
      <c r="H151" s="258">
        <v>0</v>
      </c>
      <c r="I151" s="256">
        <v>0</v>
      </c>
      <c r="J151" s="27">
        <v>0</v>
      </c>
      <c r="K151" s="254">
        <v>1</v>
      </c>
      <c r="L151" s="27">
        <v>0</v>
      </c>
      <c r="M151" s="254">
        <v>1</v>
      </c>
      <c r="N151" s="27">
        <v>0</v>
      </c>
      <c r="O151" s="264">
        <v>0</v>
      </c>
    </row>
    <row r="152" spans="1:15" ht="12.75">
      <c r="A152" s="93">
        <v>150</v>
      </c>
      <c r="B152" s="115">
        <v>233</v>
      </c>
      <c r="C152" s="254">
        <v>0</v>
      </c>
      <c r="D152" s="27">
        <v>55</v>
      </c>
      <c r="E152" s="255">
        <v>3.531</v>
      </c>
      <c r="F152" s="258">
        <v>0</v>
      </c>
      <c r="G152" s="256">
        <v>0</v>
      </c>
      <c r="H152" s="258">
        <v>1</v>
      </c>
      <c r="I152" s="256">
        <v>0</v>
      </c>
      <c r="J152" s="27">
        <v>0</v>
      </c>
      <c r="K152" s="254">
        <v>1</v>
      </c>
      <c r="L152" s="27">
        <v>0</v>
      </c>
      <c r="M152" s="254">
        <v>0</v>
      </c>
      <c r="N152" s="27">
        <v>1</v>
      </c>
      <c r="O152" s="264">
        <v>0</v>
      </c>
    </row>
    <row r="153" spans="1:15" ht="12.75">
      <c r="A153" s="93">
        <v>151</v>
      </c>
      <c r="B153" s="115">
        <v>1472</v>
      </c>
      <c r="C153" s="254">
        <v>1</v>
      </c>
      <c r="D153" s="27">
        <v>52</v>
      </c>
      <c r="E153" s="255">
        <v>2.318</v>
      </c>
      <c r="F153" s="258">
        <v>1</v>
      </c>
      <c r="G153" s="256">
        <v>0</v>
      </c>
      <c r="H153" s="258">
        <v>0</v>
      </c>
      <c r="I153" s="256">
        <v>0</v>
      </c>
      <c r="J153" s="27">
        <v>0</v>
      </c>
      <c r="K153" s="254">
        <v>1</v>
      </c>
      <c r="L153" s="27">
        <v>0</v>
      </c>
      <c r="M153" s="254">
        <v>1</v>
      </c>
      <c r="N153" s="27">
        <v>0</v>
      </c>
      <c r="O153" s="264">
        <v>0</v>
      </c>
    </row>
    <row r="154" spans="1:15" ht="12.75">
      <c r="A154" s="93">
        <v>152</v>
      </c>
      <c r="B154" s="115">
        <v>4320</v>
      </c>
      <c r="C154" s="254">
        <v>0</v>
      </c>
      <c r="D154" s="27">
        <v>52</v>
      </c>
      <c r="E154" s="255">
        <v>3.507</v>
      </c>
      <c r="F154" s="258">
        <v>0</v>
      </c>
      <c r="G154" s="256">
        <v>1</v>
      </c>
      <c r="H154" s="258">
        <v>0</v>
      </c>
      <c r="I154" s="256">
        <v>0</v>
      </c>
      <c r="J154" s="27">
        <v>0</v>
      </c>
      <c r="K154" s="254">
        <v>1</v>
      </c>
      <c r="L154" s="27">
        <v>0</v>
      </c>
      <c r="M154" s="254">
        <v>0</v>
      </c>
      <c r="N154" s="27">
        <v>0</v>
      </c>
      <c r="O154" s="264">
        <v>1</v>
      </c>
    </row>
    <row r="155" spans="1:15" ht="12.75">
      <c r="A155" s="93">
        <v>153</v>
      </c>
      <c r="B155" s="115">
        <v>749</v>
      </c>
      <c r="C155" s="254">
        <v>1</v>
      </c>
      <c r="D155" s="27">
        <v>54</v>
      </c>
      <c r="E155" s="255">
        <v>3.551</v>
      </c>
      <c r="F155" s="258">
        <v>0</v>
      </c>
      <c r="G155" s="256">
        <v>0</v>
      </c>
      <c r="H155" s="258">
        <v>1</v>
      </c>
      <c r="I155" s="256">
        <v>0</v>
      </c>
      <c r="J155" s="27">
        <v>0</v>
      </c>
      <c r="K155" s="254">
        <v>1</v>
      </c>
      <c r="L155" s="27">
        <v>0</v>
      </c>
      <c r="M155" s="254">
        <v>0</v>
      </c>
      <c r="N155" s="27">
        <v>1</v>
      </c>
      <c r="O155" s="264">
        <v>0</v>
      </c>
    </row>
    <row r="156" spans="1:15" ht="12.75">
      <c r="A156" s="93">
        <v>154</v>
      </c>
      <c r="B156" s="115">
        <v>3079</v>
      </c>
      <c r="C156" s="254">
        <v>0</v>
      </c>
      <c r="D156" s="27">
        <v>53</v>
      </c>
      <c r="E156" s="255">
        <v>3.527</v>
      </c>
      <c r="F156" s="258">
        <v>0</v>
      </c>
      <c r="G156" s="256">
        <v>0</v>
      </c>
      <c r="H156" s="258">
        <v>1</v>
      </c>
      <c r="I156" s="256">
        <v>0</v>
      </c>
      <c r="J156" s="27">
        <v>0</v>
      </c>
      <c r="K156" s="254">
        <v>0</v>
      </c>
      <c r="L156" s="27">
        <v>1</v>
      </c>
      <c r="M156" s="254">
        <v>0</v>
      </c>
      <c r="N156" s="27">
        <v>1</v>
      </c>
      <c r="O156" s="264">
        <v>0</v>
      </c>
    </row>
    <row r="157" spans="1:15" ht="12.75">
      <c r="A157" s="93">
        <v>155</v>
      </c>
      <c r="B157" s="115">
        <v>3654</v>
      </c>
      <c r="C157" s="254">
        <v>0</v>
      </c>
      <c r="D157" s="27">
        <v>55</v>
      </c>
      <c r="E157" s="255">
        <v>3.8</v>
      </c>
      <c r="F157" s="258">
        <v>0</v>
      </c>
      <c r="G157" s="256">
        <v>0</v>
      </c>
      <c r="H157" s="258">
        <v>1</v>
      </c>
      <c r="I157" s="256">
        <v>0</v>
      </c>
      <c r="J157" s="27">
        <v>1</v>
      </c>
      <c r="K157" s="254">
        <v>0</v>
      </c>
      <c r="L157" s="27">
        <v>0</v>
      </c>
      <c r="M157" s="254">
        <v>1</v>
      </c>
      <c r="N157" s="27">
        <v>0</v>
      </c>
      <c r="O157" s="264">
        <v>0</v>
      </c>
    </row>
    <row r="158" spans="1:15" ht="12.75">
      <c r="A158" s="93">
        <v>156</v>
      </c>
      <c r="B158" s="115">
        <v>3480</v>
      </c>
      <c r="C158" s="254">
        <v>1</v>
      </c>
      <c r="D158" s="27">
        <v>54</v>
      </c>
      <c r="E158" s="255">
        <v>3.617</v>
      </c>
      <c r="F158" s="258">
        <v>0</v>
      </c>
      <c r="G158" s="256">
        <v>0</v>
      </c>
      <c r="H158" s="258">
        <v>1</v>
      </c>
      <c r="I158" s="256">
        <v>0</v>
      </c>
      <c r="J158" s="27">
        <v>0</v>
      </c>
      <c r="K158" s="254">
        <v>1</v>
      </c>
      <c r="L158" s="27">
        <v>0</v>
      </c>
      <c r="M158" s="254">
        <v>0</v>
      </c>
      <c r="N158" s="27">
        <v>1</v>
      </c>
      <c r="O158" s="264">
        <v>0</v>
      </c>
    </row>
    <row r="159" spans="1:15" ht="12.75">
      <c r="A159" s="93">
        <v>157</v>
      </c>
      <c r="B159" s="115">
        <v>3564</v>
      </c>
      <c r="C159" s="254">
        <v>0</v>
      </c>
      <c r="D159" s="27">
        <v>54</v>
      </c>
      <c r="E159" s="255">
        <v>3.39</v>
      </c>
      <c r="F159" s="258">
        <v>0</v>
      </c>
      <c r="G159" s="256">
        <v>1</v>
      </c>
      <c r="H159" s="258">
        <v>0</v>
      </c>
      <c r="I159" s="256">
        <v>0</v>
      </c>
      <c r="J159" s="27">
        <v>0</v>
      </c>
      <c r="K159" s="254">
        <v>1</v>
      </c>
      <c r="L159" s="27">
        <v>0</v>
      </c>
      <c r="M159" s="254">
        <v>1</v>
      </c>
      <c r="N159" s="27">
        <v>0</v>
      </c>
      <c r="O159" s="264">
        <v>0</v>
      </c>
    </row>
    <row r="160" spans="1:15" ht="12.75">
      <c r="A160" s="93">
        <v>158</v>
      </c>
      <c r="B160" s="115">
        <v>670</v>
      </c>
      <c r="C160" s="254">
        <v>0</v>
      </c>
      <c r="D160" s="27">
        <v>52</v>
      </c>
      <c r="E160" s="255">
        <v>2.878</v>
      </c>
      <c r="F160" s="258">
        <v>1</v>
      </c>
      <c r="G160" s="256">
        <v>0</v>
      </c>
      <c r="H160" s="258">
        <v>0</v>
      </c>
      <c r="I160" s="256">
        <v>0</v>
      </c>
      <c r="J160" s="27">
        <v>0</v>
      </c>
      <c r="K160" s="254">
        <v>1</v>
      </c>
      <c r="L160" s="27">
        <v>0</v>
      </c>
      <c r="M160" s="254">
        <v>0</v>
      </c>
      <c r="N160" s="27">
        <v>1</v>
      </c>
      <c r="O160" s="264">
        <v>0</v>
      </c>
    </row>
    <row r="161" spans="1:15" ht="12.75">
      <c r="A161" s="93">
        <v>159</v>
      </c>
      <c r="B161" s="115">
        <v>2028</v>
      </c>
      <c r="C161" s="254">
        <v>1</v>
      </c>
      <c r="D161" s="27">
        <v>53</v>
      </c>
      <c r="E161" s="255">
        <v>2.354</v>
      </c>
      <c r="F161" s="258">
        <v>1</v>
      </c>
      <c r="G161" s="256">
        <v>0</v>
      </c>
      <c r="H161" s="258">
        <v>0</v>
      </c>
      <c r="I161" s="256">
        <v>0</v>
      </c>
      <c r="J161" s="27">
        <v>0</v>
      </c>
      <c r="K161" s="254">
        <v>0</v>
      </c>
      <c r="L161" s="27">
        <v>1</v>
      </c>
      <c r="M161" s="254">
        <v>0</v>
      </c>
      <c r="N161" s="27">
        <v>1</v>
      </c>
      <c r="O161" s="264">
        <v>0</v>
      </c>
    </row>
    <row r="162" spans="1:15" ht="12.75">
      <c r="A162" s="93">
        <v>160</v>
      </c>
      <c r="B162" s="115">
        <v>1813</v>
      </c>
      <c r="C162" s="254">
        <v>1</v>
      </c>
      <c r="D162" s="27">
        <v>51</v>
      </c>
      <c r="E162" s="255">
        <v>4.418</v>
      </c>
      <c r="F162" s="258">
        <v>0</v>
      </c>
      <c r="G162" s="256">
        <v>0</v>
      </c>
      <c r="H162" s="258">
        <v>0</v>
      </c>
      <c r="I162" s="256">
        <v>1</v>
      </c>
      <c r="J162" s="27">
        <v>0</v>
      </c>
      <c r="K162" s="254">
        <v>0</v>
      </c>
      <c r="L162" s="27">
        <v>1</v>
      </c>
      <c r="M162" s="254">
        <v>0</v>
      </c>
      <c r="N162" s="27">
        <v>1</v>
      </c>
      <c r="O162" s="264">
        <v>0</v>
      </c>
    </row>
    <row r="163" spans="1:15" ht="12.75">
      <c r="A163" s="93">
        <v>161</v>
      </c>
      <c r="B163" s="115">
        <v>1850</v>
      </c>
      <c r="C163" s="254">
        <v>0</v>
      </c>
      <c r="D163" s="27">
        <v>53</v>
      </c>
      <c r="E163" s="255">
        <v>3.416</v>
      </c>
      <c r="F163" s="258">
        <v>0</v>
      </c>
      <c r="G163" s="256">
        <v>1</v>
      </c>
      <c r="H163" s="258">
        <v>0</v>
      </c>
      <c r="I163" s="256">
        <v>0</v>
      </c>
      <c r="J163" s="27">
        <v>0</v>
      </c>
      <c r="K163" s="254">
        <v>0</v>
      </c>
      <c r="L163" s="27">
        <v>1</v>
      </c>
      <c r="M163" s="254">
        <v>0</v>
      </c>
      <c r="N163" s="27">
        <v>1</v>
      </c>
      <c r="O163" s="264">
        <v>0</v>
      </c>
    </row>
    <row r="164" spans="1:15" ht="12.75">
      <c r="A164" s="93">
        <v>162</v>
      </c>
      <c r="B164" s="115">
        <v>589</v>
      </c>
      <c r="C164" s="254">
        <v>0</v>
      </c>
      <c r="D164" s="27">
        <v>52</v>
      </c>
      <c r="E164" s="255">
        <v>2.218</v>
      </c>
      <c r="F164" s="258">
        <v>1</v>
      </c>
      <c r="G164" s="256">
        <v>0</v>
      </c>
      <c r="H164" s="258">
        <v>0</v>
      </c>
      <c r="I164" s="256">
        <v>0</v>
      </c>
      <c r="J164" s="27">
        <v>0</v>
      </c>
      <c r="K164" s="254">
        <v>1</v>
      </c>
      <c r="L164" s="27">
        <v>0</v>
      </c>
      <c r="M164" s="254">
        <v>0</v>
      </c>
      <c r="N164" s="27">
        <v>1</v>
      </c>
      <c r="O164" s="264">
        <v>0</v>
      </c>
    </row>
    <row r="165" spans="1:15" ht="12.75">
      <c r="A165" s="93">
        <v>163</v>
      </c>
      <c r="B165" s="115">
        <v>2219</v>
      </c>
      <c r="C165" s="254">
        <v>0</v>
      </c>
      <c r="D165" s="27">
        <v>53</v>
      </c>
      <c r="E165" s="255">
        <v>3.419</v>
      </c>
      <c r="F165" s="258">
        <v>0</v>
      </c>
      <c r="G165" s="256">
        <v>0</v>
      </c>
      <c r="H165" s="258">
        <v>1</v>
      </c>
      <c r="I165" s="256">
        <v>0</v>
      </c>
      <c r="J165" s="27">
        <v>0</v>
      </c>
      <c r="K165" s="254">
        <v>1</v>
      </c>
      <c r="L165" s="27">
        <v>0</v>
      </c>
      <c r="M165" s="254">
        <v>0</v>
      </c>
      <c r="N165" s="27">
        <v>1</v>
      </c>
      <c r="O165" s="264">
        <v>0</v>
      </c>
    </row>
    <row r="166" spans="1:15" ht="12.75">
      <c r="A166" s="93">
        <v>164</v>
      </c>
      <c r="B166" s="115">
        <v>1176</v>
      </c>
      <c r="C166" s="254">
        <v>1</v>
      </c>
      <c r="D166" s="27">
        <v>53</v>
      </c>
      <c r="E166" s="255">
        <v>3.724</v>
      </c>
      <c r="F166" s="258">
        <v>0</v>
      </c>
      <c r="G166" s="256">
        <v>0</v>
      </c>
      <c r="H166" s="258">
        <v>1</v>
      </c>
      <c r="I166" s="256">
        <v>0</v>
      </c>
      <c r="J166" s="27">
        <v>0</v>
      </c>
      <c r="K166" s="254">
        <v>0</v>
      </c>
      <c r="L166" s="27">
        <v>1</v>
      </c>
      <c r="M166" s="254">
        <v>0</v>
      </c>
      <c r="N166" s="27">
        <v>1</v>
      </c>
      <c r="O166" s="264">
        <v>0</v>
      </c>
    </row>
    <row r="167" spans="1:15" ht="12.75">
      <c r="A167" s="93">
        <v>165</v>
      </c>
      <c r="B167" s="115">
        <v>3991</v>
      </c>
      <c r="C167" s="254">
        <v>1</v>
      </c>
      <c r="D167" s="27">
        <v>54</v>
      </c>
      <c r="E167" s="255">
        <v>3.31</v>
      </c>
      <c r="F167" s="258">
        <v>0</v>
      </c>
      <c r="G167" s="256">
        <v>1</v>
      </c>
      <c r="H167" s="258">
        <v>0</v>
      </c>
      <c r="I167" s="256">
        <v>0</v>
      </c>
      <c r="J167" s="27">
        <v>0</v>
      </c>
      <c r="K167" s="254">
        <v>0</v>
      </c>
      <c r="L167" s="27">
        <v>1</v>
      </c>
      <c r="M167" s="254">
        <v>0</v>
      </c>
      <c r="N167" s="27">
        <v>1</v>
      </c>
      <c r="O167" s="264">
        <v>0</v>
      </c>
    </row>
    <row r="168" spans="1:15" ht="12.75">
      <c r="A168" s="93">
        <v>166</v>
      </c>
      <c r="B168" s="115">
        <v>4338</v>
      </c>
      <c r="C168" s="254">
        <v>1</v>
      </c>
      <c r="D168" s="27">
        <v>52</v>
      </c>
      <c r="E168" s="255">
        <v>3.319</v>
      </c>
      <c r="F168" s="258">
        <v>0</v>
      </c>
      <c r="G168" s="256">
        <v>1</v>
      </c>
      <c r="H168" s="258">
        <v>0</v>
      </c>
      <c r="I168" s="256">
        <v>0</v>
      </c>
      <c r="J168" s="27">
        <v>1</v>
      </c>
      <c r="K168" s="254">
        <v>0</v>
      </c>
      <c r="L168" s="27">
        <v>0</v>
      </c>
      <c r="M168" s="254">
        <v>1</v>
      </c>
      <c r="N168" s="27">
        <v>0</v>
      </c>
      <c r="O168" s="264">
        <v>0</v>
      </c>
    </row>
    <row r="169" spans="1:15" ht="12.75">
      <c r="A169" s="93">
        <v>167</v>
      </c>
      <c r="B169" s="115">
        <v>3424</v>
      </c>
      <c r="C169" s="254">
        <v>1</v>
      </c>
      <c r="D169" s="27">
        <v>51</v>
      </c>
      <c r="E169" s="255">
        <v>3.96</v>
      </c>
      <c r="F169" s="258">
        <v>0</v>
      </c>
      <c r="G169" s="256">
        <v>0</v>
      </c>
      <c r="H169" s="258">
        <v>0</v>
      </c>
      <c r="I169" s="256">
        <v>1</v>
      </c>
      <c r="J169" s="27">
        <v>1</v>
      </c>
      <c r="K169" s="254">
        <v>0</v>
      </c>
      <c r="L169" s="27">
        <v>0</v>
      </c>
      <c r="M169" s="254">
        <v>1</v>
      </c>
      <c r="N169" s="27">
        <v>0</v>
      </c>
      <c r="O169" s="264">
        <v>0</v>
      </c>
    </row>
    <row r="170" spans="1:15" ht="12.75">
      <c r="A170" s="93">
        <v>168</v>
      </c>
      <c r="B170" s="115">
        <v>4082</v>
      </c>
      <c r="C170" s="254">
        <v>0</v>
      </c>
      <c r="D170" s="27">
        <v>52</v>
      </c>
      <c r="E170" s="255">
        <v>3.366</v>
      </c>
      <c r="F170" s="258">
        <v>0</v>
      </c>
      <c r="G170" s="256">
        <v>1</v>
      </c>
      <c r="H170" s="258">
        <v>0</v>
      </c>
      <c r="I170" s="256">
        <v>0</v>
      </c>
      <c r="J170" s="27">
        <v>0</v>
      </c>
      <c r="K170" s="254">
        <v>1</v>
      </c>
      <c r="L170" s="27">
        <v>0</v>
      </c>
      <c r="M170" s="254">
        <v>1</v>
      </c>
      <c r="N170" s="27">
        <v>0</v>
      </c>
      <c r="O170" s="264">
        <v>0</v>
      </c>
    </row>
    <row r="171" spans="1:15" ht="12.75">
      <c r="A171" s="93">
        <v>169</v>
      </c>
      <c r="B171" s="115">
        <v>2017</v>
      </c>
      <c r="C171" s="254">
        <v>0</v>
      </c>
      <c r="D171" s="27">
        <v>54</v>
      </c>
      <c r="E171" s="255">
        <v>3.368</v>
      </c>
      <c r="F171" s="258">
        <v>0</v>
      </c>
      <c r="G171" s="256">
        <v>1</v>
      </c>
      <c r="H171" s="258">
        <v>0</v>
      </c>
      <c r="I171" s="256">
        <v>0</v>
      </c>
      <c r="J171" s="27">
        <v>0</v>
      </c>
      <c r="K171" s="254">
        <v>0</v>
      </c>
      <c r="L171" s="27">
        <v>1</v>
      </c>
      <c r="M171" s="254">
        <v>0</v>
      </c>
      <c r="N171" s="27">
        <v>0</v>
      </c>
      <c r="O171" s="264">
        <v>1</v>
      </c>
    </row>
    <row r="172" spans="1:15" ht="12.75">
      <c r="A172" s="93">
        <v>170</v>
      </c>
      <c r="B172" s="115">
        <v>3738</v>
      </c>
      <c r="C172" s="254">
        <v>1</v>
      </c>
      <c r="D172" s="27">
        <v>52</v>
      </c>
      <c r="E172" s="255">
        <v>3.321</v>
      </c>
      <c r="F172" s="258">
        <v>0</v>
      </c>
      <c r="G172" s="256">
        <v>1</v>
      </c>
      <c r="H172" s="258">
        <v>0</v>
      </c>
      <c r="I172" s="256">
        <v>0</v>
      </c>
      <c r="J172" s="27">
        <v>0</v>
      </c>
      <c r="K172" s="254">
        <v>0</v>
      </c>
      <c r="L172" s="27">
        <v>1</v>
      </c>
      <c r="M172" s="254">
        <v>0</v>
      </c>
      <c r="N172" s="27">
        <v>1</v>
      </c>
      <c r="O172" s="264">
        <v>0</v>
      </c>
    </row>
    <row r="173" spans="1:15" ht="12.75">
      <c r="A173" s="93">
        <v>171</v>
      </c>
      <c r="B173" s="115">
        <v>639</v>
      </c>
      <c r="C173" s="254">
        <v>1</v>
      </c>
      <c r="D173" s="27">
        <v>56</v>
      </c>
      <c r="E173" s="255">
        <v>3.601</v>
      </c>
      <c r="F173" s="258">
        <v>0</v>
      </c>
      <c r="G173" s="256">
        <v>0</v>
      </c>
      <c r="H173" s="258">
        <v>1</v>
      </c>
      <c r="I173" s="256">
        <v>0</v>
      </c>
      <c r="J173" s="27">
        <v>0</v>
      </c>
      <c r="K173" s="254">
        <v>1</v>
      </c>
      <c r="L173" s="27">
        <v>0</v>
      </c>
      <c r="M173" s="254">
        <v>0</v>
      </c>
      <c r="N173" s="27">
        <v>1</v>
      </c>
      <c r="O173" s="264">
        <v>0</v>
      </c>
    </row>
    <row r="174" spans="1:15" ht="12.75">
      <c r="A174" s="93">
        <v>172</v>
      </c>
      <c r="B174" s="115">
        <v>4491</v>
      </c>
      <c r="C174" s="254">
        <v>1</v>
      </c>
      <c r="D174" s="27">
        <v>53</v>
      </c>
      <c r="E174" s="255">
        <v>2.938</v>
      </c>
      <c r="F174" s="258">
        <v>0</v>
      </c>
      <c r="G174" s="256">
        <v>0</v>
      </c>
      <c r="H174" s="258">
        <v>1</v>
      </c>
      <c r="I174" s="256">
        <v>0</v>
      </c>
      <c r="J174" s="27">
        <v>0</v>
      </c>
      <c r="K174" s="254">
        <v>1</v>
      </c>
      <c r="L174" s="27">
        <v>0</v>
      </c>
      <c r="M174" s="254">
        <v>1</v>
      </c>
      <c r="N174" s="27">
        <v>0</v>
      </c>
      <c r="O174" s="264">
        <v>0</v>
      </c>
    </row>
    <row r="175" spans="1:15" ht="12.75">
      <c r="A175" s="93">
        <v>173</v>
      </c>
      <c r="B175" s="115">
        <v>159</v>
      </c>
      <c r="C175" s="254">
        <v>0</v>
      </c>
      <c r="D175" s="27">
        <v>52</v>
      </c>
      <c r="E175" s="255">
        <v>3.088</v>
      </c>
      <c r="F175" s="258">
        <v>1</v>
      </c>
      <c r="G175" s="256">
        <v>0</v>
      </c>
      <c r="H175" s="258">
        <v>0</v>
      </c>
      <c r="I175" s="256">
        <v>0</v>
      </c>
      <c r="J175" s="27">
        <v>0</v>
      </c>
      <c r="K175" s="254">
        <v>1</v>
      </c>
      <c r="L175" s="27">
        <v>0</v>
      </c>
      <c r="M175" s="254">
        <v>1</v>
      </c>
      <c r="N175" s="27">
        <v>0</v>
      </c>
      <c r="O175" s="264">
        <v>0</v>
      </c>
    </row>
    <row r="176" spans="1:15" ht="12.75">
      <c r="A176" s="93">
        <v>174</v>
      </c>
      <c r="B176" s="115">
        <v>4545</v>
      </c>
      <c r="C176" s="254">
        <v>0</v>
      </c>
      <c r="D176" s="27">
        <v>51</v>
      </c>
      <c r="E176" s="255">
        <v>2.893</v>
      </c>
      <c r="F176" s="258">
        <v>1</v>
      </c>
      <c r="G176" s="256">
        <v>0</v>
      </c>
      <c r="H176" s="258">
        <v>0</v>
      </c>
      <c r="I176" s="256">
        <v>0</v>
      </c>
      <c r="J176" s="27">
        <v>1</v>
      </c>
      <c r="K176" s="254">
        <v>0</v>
      </c>
      <c r="L176" s="27">
        <v>0</v>
      </c>
      <c r="M176" s="254">
        <v>1</v>
      </c>
      <c r="N176" s="27">
        <v>0</v>
      </c>
      <c r="O176" s="264">
        <v>0</v>
      </c>
    </row>
    <row r="177" spans="1:15" ht="12.75">
      <c r="A177" s="93">
        <v>175</v>
      </c>
      <c r="B177" s="115">
        <v>4202</v>
      </c>
      <c r="C177" s="254">
        <v>1</v>
      </c>
      <c r="D177" s="27">
        <v>54</v>
      </c>
      <c r="E177" s="255">
        <v>4.002</v>
      </c>
      <c r="F177" s="258">
        <v>0</v>
      </c>
      <c r="G177" s="256">
        <v>0</v>
      </c>
      <c r="H177" s="258">
        <v>0</v>
      </c>
      <c r="I177" s="256">
        <v>1</v>
      </c>
      <c r="J177" s="27">
        <v>0</v>
      </c>
      <c r="K177" s="254">
        <v>1</v>
      </c>
      <c r="L177" s="27">
        <v>0</v>
      </c>
      <c r="M177" s="254">
        <v>0</v>
      </c>
      <c r="N177" s="27">
        <v>0</v>
      </c>
      <c r="O177" s="264">
        <v>1</v>
      </c>
    </row>
    <row r="178" spans="1:15" ht="12.75">
      <c r="A178" s="93">
        <v>176</v>
      </c>
      <c r="B178" s="115">
        <v>2641</v>
      </c>
      <c r="C178" s="254">
        <v>0</v>
      </c>
      <c r="D178" s="27">
        <v>52</v>
      </c>
      <c r="E178" s="255">
        <v>3.026</v>
      </c>
      <c r="F178" s="258">
        <v>1</v>
      </c>
      <c r="G178" s="256">
        <v>0</v>
      </c>
      <c r="H178" s="258">
        <v>0</v>
      </c>
      <c r="I178" s="256">
        <v>0</v>
      </c>
      <c r="J178" s="27">
        <v>0</v>
      </c>
      <c r="K178" s="254">
        <v>1</v>
      </c>
      <c r="L178" s="27">
        <v>0</v>
      </c>
      <c r="M178" s="254">
        <v>0</v>
      </c>
      <c r="N178" s="27">
        <v>0</v>
      </c>
      <c r="O178" s="264">
        <v>1</v>
      </c>
    </row>
    <row r="179" spans="1:15" ht="12.75">
      <c r="A179" s="93">
        <v>177</v>
      </c>
      <c r="B179" s="115">
        <v>4170</v>
      </c>
      <c r="C179" s="254">
        <v>1</v>
      </c>
      <c r="D179" s="27">
        <v>55</v>
      </c>
      <c r="E179" s="255">
        <v>2.992</v>
      </c>
      <c r="F179" s="258">
        <v>1</v>
      </c>
      <c r="G179" s="256">
        <v>0</v>
      </c>
      <c r="H179" s="258">
        <v>0</v>
      </c>
      <c r="I179" s="256">
        <v>0</v>
      </c>
      <c r="J179" s="27">
        <v>0</v>
      </c>
      <c r="K179" s="254">
        <v>1</v>
      </c>
      <c r="L179" s="27">
        <v>0</v>
      </c>
      <c r="M179" s="254">
        <v>0</v>
      </c>
      <c r="N179" s="27">
        <v>1</v>
      </c>
      <c r="O179" s="264">
        <v>0</v>
      </c>
    </row>
    <row r="180" spans="1:15" ht="12.75">
      <c r="A180" s="93">
        <v>178</v>
      </c>
      <c r="B180" s="115">
        <v>2893</v>
      </c>
      <c r="C180" s="254">
        <v>1</v>
      </c>
      <c r="D180" s="27">
        <v>53</v>
      </c>
      <c r="E180" s="255">
        <v>3.478</v>
      </c>
      <c r="F180" s="258">
        <v>0</v>
      </c>
      <c r="G180" s="256">
        <v>0</v>
      </c>
      <c r="H180" s="258">
        <v>1</v>
      </c>
      <c r="I180" s="256">
        <v>0</v>
      </c>
      <c r="J180" s="27">
        <v>0</v>
      </c>
      <c r="K180" s="254">
        <v>1</v>
      </c>
      <c r="L180" s="27">
        <v>0</v>
      </c>
      <c r="M180" s="254">
        <v>0</v>
      </c>
      <c r="N180" s="27">
        <v>1</v>
      </c>
      <c r="O180" s="264">
        <v>0</v>
      </c>
    </row>
    <row r="181" spans="1:15" ht="12.75">
      <c r="A181" s="93">
        <v>179</v>
      </c>
      <c r="B181" s="115">
        <v>4038</v>
      </c>
      <c r="C181" s="254">
        <v>1</v>
      </c>
      <c r="D181" s="27">
        <v>53</v>
      </c>
      <c r="E181" s="255">
        <v>3.973</v>
      </c>
      <c r="F181" s="258">
        <v>0</v>
      </c>
      <c r="G181" s="256">
        <v>0</v>
      </c>
      <c r="H181" s="258">
        <v>0</v>
      </c>
      <c r="I181" s="256">
        <v>1</v>
      </c>
      <c r="J181" s="27">
        <v>0</v>
      </c>
      <c r="K181" s="254">
        <v>1</v>
      </c>
      <c r="L181" s="27">
        <v>0</v>
      </c>
      <c r="M181" s="254">
        <v>0</v>
      </c>
      <c r="N181" s="27">
        <v>1</v>
      </c>
      <c r="O181" s="264">
        <v>0</v>
      </c>
    </row>
    <row r="182" spans="1:15" ht="12.75">
      <c r="A182" s="93">
        <v>180</v>
      </c>
      <c r="B182" s="115">
        <v>207</v>
      </c>
      <c r="C182" s="254">
        <v>1</v>
      </c>
      <c r="D182" s="27">
        <v>56</v>
      </c>
      <c r="E182" s="255">
        <v>3.687</v>
      </c>
      <c r="F182" s="258">
        <v>0</v>
      </c>
      <c r="G182" s="256">
        <v>0</v>
      </c>
      <c r="H182" s="258">
        <v>1</v>
      </c>
      <c r="I182" s="256">
        <v>0</v>
      </c>
      <c r="J182" s="27">
        <v>1</v>
      </c>
      <c r="K182" s="254">
        <v>0</v>
      </c>
      <c r="L182" s="27">
        <v>0</v>
      </c>
      <c r="M182" s="254">
        <v>1</v>
      </c>
      <c r="N182" s="27">
        <v>0</v>
      </c>
      <c r="O182" s="264">
        <v>0</v>
      </c>
    </row>
    <row r="183" spans="1:15" ht="12.75">
      <c r="A183" s="93">
        <v>181</v>
      </c>
      <c r="B183" s="115">
        <v>3565</v>
      </c>
      <c r="C183" s="254">
        <v>1</v>
      </c>
      <c r="D183" s="27">
        <v>54</v>
      </c>
      <c r="E183" s="255">
        <v>3.228</v>
      </c>
      <c r="F183" s="258">
        <v>0</v>
      </c>
      <c r="G183" s="256">
        <v>1</v>
      </c>
      <c r="H183" s="258">
        <v>0</v>
      </c>
      <c r="I183" s="256">
        <v>0</v>
      </c>
      <c r="J183" s="27">
        <v>1</v>
      </c>
      <c r="K183" s="254">
        <v>0</v>
      </c>
      <c r="L183" s="27">
        <v>0</v>
      </c>
      <c r="M183" s="254">
        <v>1</v>
      </c>
      <c r="N183" s="27">
        <v>0</v>
      </c>
      <c r="O183" s="264">
        <v>0</v>
      </c>
    </row>
    <row r="184" spans="1:15" ht="12.75">
      <c r="A184" s="93">
        <v>182</v>
      </c>
      <c r="B184" s="115">
        <v>978</v>
      </c>
      <c r="C184" s="254">
        <v>0</v>
      </c>
      <c r="D184" s="27">
        <v>54</v>
      </c>
      <c r="E184" s="255">
        <v>3.632</v>
      </c>
      <c r="F184" s="258">
        <v>0</v>
      </c>
      <c r="G184" s="256">
        <v>0</v>
      </c>
      <c r="H184" s="258">
        <v>1</v>
      </c>
      <c r="I184" s="256">
        <v>0</v>
      </c>
      <c r="J184" s="27">
        <v>0</v>
      </c>
      <c r="K184" s="254">
        <v>1</v>
      </c>
      <c r="L184" s="27">
        <v>0</v>
      </c>
      <c r="M184" s="254">
        <v>0</v>
      </c>
      <c r="N184" s="27">
        <v>1</v>
      </c>
      <c r="O184" s="264">
        <v>0</v>
      </c>
    </row>
    <row r="185" spans="1:15" ht="12.75">
      <c r="A185" s="93">
        <v>183</v>
      </c>
      <c r="B185" s="115">
        <v>4212</v>
      </c>
      <c r="C185" s="254">
        <v>0</v>
      </c>
      <c r="D185" s="27">
        <v>54</v>
      </c>
      <c r="E185" s="255">
        <v>3.047</v>
      </c>
      <c r="F185" s="258">
        <v>1</v>
      </c>
      <c r="G185" s="256">
        <v>0</v>
      </c>
      <c r="H185" s="258">
        <v>0</v>
      </c>
      <c r="I185" s="256">
        <v>0</v>
      </c>
      <c r="J185" s="27">
        <v>0</v>
      </c>
      <c r="K185" s="254">
        <v>1</v>
      </c>
      <c r="L185" s="27">
        <v>0</v>
      </c>
      <c r="M185" s="254">
        <v>0</v>
      </c>
      <c r="N185" s="27">
        <v>0</v>
      </c>
      <c r="O185" s="264">
        <v>1</v>
      </c>
    </row>
    <row r="186" spans="1:15" ht="12.75">
      <c r="A186" s="93">
        <v>184</v>
      </c>
      <c r="B186" s="115">
        <v>999</v>
      </c>
      <c r="C186" s="254">
        <v>0</v>
      </c>
      <c r="D186" s="27">
        <v>55</v>
      </c>
      <c r="E186" s="255">
        <v>3.875</v>
      </c>
      <c r="F186" s="258">
        <v>0</v>
      </c>
      <c r="G186" s="256">
        <v>0</v>
      </c>
      <c r="H186" s="258">
        <v>0</v>
      </c>
      <c r="I186" s="256">
        <v>1</v>
      </c>
      <c r="J186" s="27">
        <v>0</v>
      </c>
      <c r="K186" s="254">
        <v>1</v>
      </c>
      <c r="L186" s="27">
        <v>0</v>
      </c>
      <c r="M186" s="254">
        <v>1</v>
      </c>
      <c r="N186" s="27">
        <v>0</v>
      </c>
      <c r="O186" s="264">
        <v>0</v>
      </c>
    </row>
    <row r="187" spans="1:15" ht="12.75">
      <c r="A187" s="93">
        <v>185</v>
      </c>
      <c r="B187" s="115">
        <v>1018</v>
      </c>
      <c r="C187" s="254">
        <v>0</v>
      </c>
      <c r="D187" s="27">
        <v>53</v>
      </c>
      <c r="E187" s="255">
        <v>3.334</v>
      </c>
      <c r="F187" s="258">
        <v>0</v>
      </c>
      <c r="G187" s="256">
        <v>1</v>
      </c>
      <c r="H187" s="258">
        <v>0</v>
      </c>
      <c r="I187" s="256">
        <v>0</v>
      </c>
      <c r="J187" s="27">
        <v>0</v>
      </c>
      <c r="K187" s="254">
        <v>1</v>
      </c>
      <c r="L187" s="27">
        <v>0</v>
      </c>
      <c r="M187" s="254">
        <v>1</v>
      </c>
      <c r="N187" s="27">
        <v>0</v>
      </c>
      <c r="O187" s="264">
        <v>0</v>
      </c>
    </row>
    <row r="188" spans="1:15" ht="12.75">
      <c r="A188" s="93">
        <v>186</v>
      </c>
      <c r="B188" s="115">
        <v>4420</v>
      </c>
      <c r="C188" s="254">
        <v>0</v>
      </c>
      <c r="D188" s="27">
        <v>52</v>
      </c>
      <c r="E188" s="255">
        <v>3.359</v>
      </c>
      <c r="F188" s="258">
        <v>0</v>
      </c>
      <c r="G188" s="256">
        <v>1</v>
      </c>
      <c r="H188" s="258">
        <v>0</v>
      </c>
      <c r="I188" s="256">
        <v>0</v>
      </c>
      <c r="J188" s="27">
        <v>0</v>
      </c>
      <c r="K188" s="254">
        <v>1</v>
      </c>
      <c r="L188" s="27">
        <v>0</v>
      </c>
      <c r="M188" s="254">
        <v>0</v>
      </c>
      <c r="N188" s="27">
        <v>0</v>
      </c>
      <c r="O188" s="264">
        <v>1</v>
      </c>
    </row>
    <row r="189" spans="1:15" ht="12.75">
      <c r="A189" s="93">
        <v>187</v>
      </c>
      <c r="B189" s="115">
        <v>2622</v>
      </c>
      <c r="C189" s="254">
        <v>0</v>
      </c>
      <c r="D189" s="27">
        <v>55</v>
      </c>
      <c r="E189" s="255">
        <v>3.356</v>
      </c>
      <c r="F189" s="258">
        <v>0</v>
      </c>
      <c r="G189" s="256">
        <v>1</v>
      </c>
      <c r="H189" s="258">
        <v>0</v>
      </c>
      <c r="I189" s="256">
        <v>0</v>
      </c>
      <c r="J189" s="27">
        <v>0</v>
      </c>
      <c r="K189" s="254">
        <v>1</v>
      </c>
      <c r="L189" s="27">
        <v>0</v>
      </c>
      <c r="M189" s="254">
        <v>0</v>
      </c>
      <c r="N189" s="27">
        <v>0</v>
      </c>
      <c r="O189" s="264">
        <v>1</v>
      </c>
    </row>
    <row r="190" spans="1:15" ht="12.75">
      <c r="A190" s="93">
        <v>188</v>
      </c>
      <c r="B190" s="115">
        <v>486</v>
      </c>
      <c r="C190" s="254">
        <v>0</v>
      </c>
      <c r="D190" s="27">
        <v>55</v>
      </c>
      <c r="E190" s="255">
        <v>3.836</v>
      </c>
      <c r="F190" s="258">
        <v>0</v>
      </c>
      <c r="G190" s="256">
        <v>0</v>
      </c>
      <c r="H190" s="258">
        <v>1</v>
      </c>
      <c r="I190" s="256">
        <v>0</v>
      </c>
      <c r="J190" s="27">
        <v>0</v>
      </c>
      <c r="K190" s="254">
        <v>1</v>
      </c>
      <c r="L190" s="27">
        <v>0</v>
      </c>
      <c r="M190" s="254">
        <v>0</v>
      </c>
      <c r="N190" s="27">
        <v>1</v>
      </c>
      <c r="O190" s="264">
        <v>0</v>
      </c>
    </row>
    <row r="191" spans="1:15" ht="12.75">
      <c r="A191" s="93">
        <v>189</v>
      </c>
      <c r="B191" s="115">
        <v>4554</v>
      </c>
      <c r="C191" s="254">
        <v>1</v>
      </c>
      <c r="D191" s="27">
        <v>55</v>
      </c>
      <c r="E191" s="255">
        <v>2.886</v>
      </c>
      <c r="F191" s="258">
        <v>1</v>
      </c>
      <c r="G191" s="256">
        <v>0</v>
      </c>
      <c r="H191" s="258">
        <v>0</v>
      </c>
      <c r="I191" s="256">
        <v>0</v>
      </c>
      <c r="J191" s="27">
        <v>0</v>
      </c>
      <c r="K191" s="254">
        <v>1</v>
      </c>
      <c r="L191" s="27">
        <v>0</v>
      </c>
      <c r="M191" s="254">
        <v>0</v>
      </c>
      <c r="N191" s="27">
        <v>1</v>
      </c>
      <c r="O191" s="264">
        <v>0</v>
      </c>
    </row>
    <row r="192" spans="1:15" ht="12.75">
      <c r="A192" s="93">
        <v>190</v>
      </c>
      <c r="B192" s="115">
        <v>1420</v>
      </c>
      <c r="C192" s="254">
        <v>0</v>
      </c>
      <c r="D192" s="27">
        <v>55</v>
      </c>
      <c r="E192" s="255">
        <v>2.905</v>
      </c>
      <c r="F192" s="258">
        <v>1</v>
      </c>
      <c r="G192" s="256">
        <v>0</v>
      </c>
      <c r="H192" s="258">
        <v>0</v>
      </c>
      <c r="I192" s="256">
        <v>0</v>
      </c>
      <c r="J192" s="27">
        <v>0</v>
      </c>
      <c r="K192" s="254">
        <v>1</v>
      </c>
      <c r="L192" s="27">
        <v>0</v>
      </c>
      <c r="M192" s="254">
        <v>1</v>
      </c>
      <c r="N192" s="27">
        <v>0</v>
      </c>
      <c r="O192" s="264">
        <v>0</v>
      </c>
    </row>
    <row r="193" spans="1:15" ht="12.75">
      <c r="A193" s="93">
        <v>191</v>
      </c>
      <c r="B193" s="115">
        <v>4025</v>
      </c>
      <c r="C193" s="254">
        <v>0</v>
      </c>
      <c r="D193" s="27">
        <v>53</v>
      </c>
      <c r="E193" s="255">
        <v>3.192</v>
      </c>
      <c r="F193" s="258">
        <v>0</v>
      </c>
      <c r="G193" s="256">
        <v>1</v>
      </c>
      <c r="H193" s="258">
        <v>0</v>
      </c>
      <c r="I193" s="256">
        <v>0</v>
      </c>
      <c r="J193" s="27">
        <v>0</v>
      </c>
      <c r="K193" s="254">
        <v>1</v>
      </c>
      <c r="L193" s="27">
        <v>0</v>
      </c>
      <c r="M193" s="254">
        <v>0</v>
      </c>
      <c r="N193" s="27">
        <v>0</v>
      </c>
      <c r="O193" s="264">
        <v>1</v>
      </c>
    </row>
    <row r="194" spans="1:15" ht="12.75">
      <c r="A194" s="93">
        <v>192</v>
      </c>
      <c r="B194" s="115">
        <v>4269</v>
      </c>
      <c r="C194" s="254">
        <v>1</v>
      </c>
      <c r="D194" s="27">
        <v>52</v>
      </c>
      <c r="E194" s="255">
        <v>3.23</v>
      </c>
      <c r="F194" s="258">
        <v>0</v>
      </c>
      <c r="G194" s="256">
        <v>1</v>
      </c>
      <c r="H194" s="258">
        <v>0</v>
      </c>
      <c r="I194" s="256">
        <v>0</v>
      </c>
      <c r="J194" s="27">
        <v>0</v>
      </c>
      <c r="K194" s="254">
        <v>1</v>
      </c>
      <c r="L194" s="27">
        <v>0</v>
      </c>
      <c r="M194" s="254">
        <v>1</v>
      </c>
      <c r="N194" s="27">
        <v>0</v>
      </c>
      <c r="O194" s="264">
        <v>0</v>
      </c>
    </row>
    <row r="195" spans="1:15" ht="12.75">
      <c r="A195" s="93">
        <v>193</v>
      </c>
      <c r="B195" s="115">
        <v>1941</v>
      </c>
      <c r="C195" s="254">
        <v>1</v>
      </c>
      <c r="D195" s="27">
        <v>53</v>
      </c>
      <c r="E195" s="255">
        <v>3.043</v>
      </c>
      <c r="F195" s="258">
        <v>1</v>
      </c>
      <c r="G195" s="256">
        <v>0</v>
      </c>
      <c r="H195" s="258">
        <v>0</v>
      </c>
      <c r="I195" s="256">
        <v>0</v>
      </c>
      <c r="J195" s="27">
        <v>0</v>
      </c>
      <c r="K195" s="254">
        <v>1</v>
      </c>
      <c r="L195" s="27">
        <v>0</v>
      </c>
      <c r="M195" s="254">
        <v>0</v>
      </c>
      <c r="N195" s="27">
        <v>1</v>
      </c>
      <c r="O195" s="264">
        <v>0</v>
      </c>
    </row>
    <row r="196" spans="1:15" ht="12.75">
      <c r="A196" s="93">
        <v>194</v>
      </c>
      <c r="B196" s="115">
        <v>2134</v>
      </c>
      <c r="C196" s="254">
        <v>1</v>
      </c>
      <c r="D196" s="27">
        <v>52</v>
      </c>
      <c r="E196" s="255">
        <v>3.903</v>
      </c>
      <c r="F196" s="258">
        <v>0</v>
      </c>
      <c r="G196" s="256">
        <v>0</v>
      </c>
      <c r="H196" s="258">
        <v>0</v>
      </c>
      <c r="I196" s="256">
        <v>1</v>
      </c>
      <c r="J196" s="27">
        <v>0</v>
      </c>
      <c r="K196" s="254">
        <v>1</v>
      </c>
      <c r="L196" s="27">
        <v>0</v>
      </c>
      <c r="M196" s="254">
        <v>0</v>
      </c>
      <c r="N196" s="27">
        <v>0</v>
      </c>
      <c r="O196" s="264">
        <v>1</v>
      </c>
    </row>
    <row r="197" spans="1:15" ht="12.75">
      <c r="A197" s="93">
        <v>195</v>
      </c>
      <c r="B197" s="115">
        <v>201</v>
      </c>
      <c r="C197" s="254">
        <v>0</v>
      </c>
      <c r="D197" s="27">
        <v>52</v>
      </c>
      <c r="E197" s="255">
        <v>3.764</v>
      </c>
      <c r="F197" s="258">
        <v>0</v>
      </c>
      <c r="G197" s="256">
        <v>1</v>
      </c>
      <c r="H197" s="258">
        <v>0</v>
      </c>
      <c r="I197" s="256">
        <v>0</v>
      </c>
      <c r="J197" s="27">
        <v>0</v>
      </c>
      <c r="K197" s="254">
        <v>1</v>
      </c>
      <c r="L197" s="27">
        <v>0</v>
      </c>
      <c r="M197" s="254">
        <v>0</v>
      </c>
      <c r="N197" s="27">
        <v>0</v>
      </c>
      <c r="O197" s="264">
        <v>1</v>
      </c>
    </row>
    <row r="198" spans="1:15" ht="12.75">
      <c r="A198" s="93">
        <v>196</v>
      </c>
      <c r="B198" s="115">
        <v>1991</v>
      </c>
      <c r="C198" s="254">
        <v>0</v>
      </c>
      <c r="D198" s="27">
        <v>53</v>
      </c>
      <c r="E198" s="255">
        <v>3.309</v>
      </c>
      <c r="F198" s="258">
        <v>0</v>
      </c>
      <c r="G198" s="256">
        <v>1</v>
      </c>
      <c r="H198" s="258">
        <v>0</v>
      </c>
      <c r="I198" s="256">
        <v>0</v>
      </c>
      <c r="J198" s="27">
        <v>0</v>
      </c>
      <c r="K198" s="254">
        <v>1</v>
      </c>
      <c r="L198" s="27">
        <v>0</v>
      </c>
      <c r="M198" s="254">
        <v>0</v>
      </c>
      <c r="N198" s="27">
        <v>1</v>
      </c>
      <c r="O198" s="264">
        <v>0</v>
      </c>
    </row>
    <row r="199" spans="1:15" ht="12.75">
      <c r="A199" s="93">
        <v>197</v>
      </c>
      <c r="B199" s="115">
        <v>4354</v>
      </c>
      <c r="C199" s="254">
        <v>1</v>
      </c>
      <c r="D199" s="27">
        <v>55</v>
      </c>
      <c r="E199" s="255">
        <v>2.901</v>
      </c>
      <c r="F199" s="258">
        <v>1</v>
      </c>
      <c r="G199" s="256">
        <v>0</v>
      </c>
      <c r="H199" s="258">
        <v>0</v>
      </c>
      <c r="I199" s="256">
        <v>0</v>
      </c>
      <c r="J199" s="27">
        <v>0</v>
      </c>
      <c r="K199" s="254">
        <v>1</v>
      </c>
      <c r="L199" s="27">
        <v>0</v>
      </c>
      <c r="M199" s="254">
        <v>0</v>
      </c>
      <c r="N199" s="27">
        <v>1</v>
      </c>
      <c r="O199" s="264">
        <v>0</v>
      </c>
    </row>
    <row r="200" spans="1:15" ht="12.75">
      <c r="A200" s="93">
        <v>198</v>
      </c>
      <c r="B200" s="115">
        <v>3215</v>
      </c>
      <c r="C200" s="254">
        <v>0</v>
      </c>
      <c r="D200" s="27">
        <v>53</v>
      </c>
      <c r="E200" s="255">
        <v>3.152</v>
      </c>
      <c r="F200" s="258">
        <v>0</v>
      </c>
      <c r="G200" s="256">
        <v>1</v>
      </c>
      <c r="H200" s="258">
        <v>0</v>
      </c>
      <c r="I200" s="256">
        <v>0</v>
      </c>
      <c r="J200" s="27">
        <v>0</v>
      </c>
      <c r="K200" s="254">
        <v>1</v>
      </c>
      <c r="L200" s="27">
        <v>0</v>
      </c>
      <c r="M200" s="254">
        <v>1</v>
      </c>
      <c r="N200" s="27">
        <v>0</v>
      </c>
      <c r="O200" s="264">
        <v>0</v>
      </c>
    </row>
    <row r="201" spans="1:15" ht="12.75">
      <c r="A201" s="93">
        <v>199</v>
      </c>
      <c r="B201" s="115">
        <v>1592</v>
      </c>
      <c r="C201" s="254">
        <v>1</v>
      </c>
      <c r="D201" s="27">
        <v>56</v>
      </c>
      <c r="E201" s="255">
        <v>4.386</v>
      </c>
      <c r="F201" s="258">
        <v>0</v>
      </c>
      <c r="G201" s="256">
        <v>0</v>
      </c>
      <c r="H201" s="258">
        <v>0</v>
      </c>
      <c r="I201" s="256">
        <v>1</v>
      </c>
      <c r="J201" s="27">
        <v>0</v>
      </c>
      <c r="K201" s="254">
        <v>0</v>
      </c>
      <c r="L201" s="27">
        <v>1</v>
      </c>
      <c r="M201" s="254">
        <v>0</v>
      </c>
      <c r="N201" s="27">
        <v>0</v>
      </c>
      <c r="O201" s="264">
        <v>1</v>
      </c>
    </row>
    <row r="202" spans="1:15" ht="12.75">
      <c r="A202" s="93">
        <v>200</v>
      </c>
      <c r="B202" s="115">
        <v>877</v>
      </c>
      <c r="C202" s="254">
        <v>0</v>
      </c>
      <c r="D202" s="27">
        <v>52</v>
      </c>
      <c r="E202" s="255">
        <v>3.959</v>
      </c>
      <c r="F202" s="258">
        <v>0</v>
      </c>
      <c r="G202" s="256">
        <v>0</v>
      </c>
      <c r="H202" s="258">
        <v>0</v>
      </c>
      <c r="I202" s="256">
        <v>1</v>
      </c>
      <c r="J202" s="27">
        <v>1</v>
      </c>
      <c r="K202" s="254">
        <v>0</v>
      </c>
      <c r="L202" s="27">
        <v>0</v>
      </c>
      <c r="M202" s="254">
        <v>1</v>
      </c>
      <c r="N202" s="27">
        <v>0</v>
      </c>
      <c r="O202" s="264">
        <v>0</v>
      </c>
    </row>
    <row r="203" spans="1:15" ht="12.75">
      <c r="A203" s="93">
        <v>201</v>
      </c>
      <c r="B203" s="115">
        <v>1807</v>
      </c>
      <c r="C203" s="254">
        <v>1</v>
      </c>
      <c r="D203" s="27">
        <v>56</v>
      </c>
      <c r="E203" s="255">
        <v>3.656</v>
      </c>
      <c r="F203" s="258">
        <v>0</v>
      </c>
      <c r="G203" s="256">
        <v>0</v>
      </c>
      <c r="H203" s="258">
        <v>1</v>
      </c>
      <c r="I203" s="256">
        <v>0</v>
      </c>
      <c r="J203" s="27">
        <v>0</v>
      </c>
      <c r="K203" s="254">
        <v>1</v>
      </c>
      <c r="L203" s="27">
        <v>0</v>
      </c>
      <c r="M203" s="254">
        <v>0</v>
      </c>
      <c r="N203" s="27">
        <v>1</v>
      </c>
      <c r="O203" s="264">
        <v>0</v>
      </c>
    </row>
    <row r="204" spans="1:15" ht="12.75">
      <c r="A204" s="93">
        <v>202</v>
      </c>
      <c r="B204" s="115">
        <v>4020</v>
      </c>
      <c r="C204" s="254">
        <v>1</v>
      </c>
      <c r="D204" s="27">
        <v>52</v>
      </c>
      <c r="E204" s="255">
        <v>3.479</v>
      </c>
      <c r="F204" s="258">
        <v>0</v>
      </c>
      <c r="G204" s="256">
        <v>0</v>
      </c>
      <c r="H204" s="258">
        <v>1</v>
      </c>
      <c r="I204" s="256">
        <v>0</v>
      </c>
      <c r="J204" s="27">
        <v>0</v>
      </c>
      <c r="K204" s="254">
        <v>1</v>
      </c>
      <c r="L204" s="27">
        <v>0</v>
      </c>
      <c r="M204" s="254">
        <v>0</v>
      </c>
      <c r="N204" s="27">
        <v>1</v>
      </c>
      <c r="O204" s="264">
        <v>0</v>
      </c>
    </row>
    <row r="205" spans="1:15" ht="12.75">
      <c r="A205" s="93">
        <v>203</v>
      </c>
      <c r="B205" s="115">
        <v>3388</v>
      </c>
      <c r="C205" s="254">
        <v>1</v>
      </c>
      <c r="D205" s="27">
        <v>53</v>
      </c>
      <c r="E205" s="255">
        <v>2.975</v>
      </c>
      <c r="F205" s="258">
        <v>1</v>
      </c>
      <c r="G205" s="256">
        <v>0</v>
      </c>
      <c r="H205" s="258">
        <v>0</v>
      </c>
      <c r="I205" s="256">
        <v>0</v>
      </c>
      <c r="J205" s="27">
        <v>0</v>
      </c>
      <c r="K205" s="254">
        <v>1</v>
      </c>
      <c r="L205" s="27">
        <v>0</v>
      </c>
      <c r="M205" s="254">
        <v>1</v>
      </c>
      <c r="N205" s="27">
        <v>0</v>
      </c>
      <c r="O205" s="264">
        <v>0</v>
      </c>
    </row>
    <row r="206" spans="1:15" ht="12.75">
      <c r="A206" s="93">
        <v>204</v>
      </c>
      <c r="B206" s="115">
        <v>4129</v>
      </c>
      <c r="C206" s="254">
        <v>1</v>
      </c>
      <c r="D206" s="27">
        <v>51</v>
      </c>
      <c r="E206" s="255">
        <v>3.067</v>
      </c>
      <c r="F206" s="258">
        <v>1</v>
      </c>
      <c r="G206" s="256">
        <v>0</v>
      </c>
      <c r="H206" s="258">
        <v>0</v>
      </c>
      <c r="I206" s="256">
        <v>0</v>
      </c>
      <c r="J206" s="27">
        <v>0</v>
      </c>
      <c r="K206" s="254">
        <v>1</v>
      </c>
      <c r="L206" s="27">
        <v>0</v>
      </c>
      <c r="M206" s="254">
        <v>0</v>
      </c>
      <c r="N206" s="27">
        <v>0</v>
      </c>
      <c r="O206" s="264">
        <v>1</v>
      </c>
    </row>
    <row r="207" spans="1:15" ht="12.75">
      <c r="A207" s="93">
        <v>205</v>
      </c>
      <c r="B207" s="115">
        <v>2045</v>
      </c>
      <c r="C207" s="254">
        <v>0</v>
      </c>
      <c r="D207" s="27">
        <v>51</v>
      </c>
      <c r="E207" s="255">
        <v>3.977</v>
      </c>
      <c r="F207" s="258">
        <v>0</v>
      </c>
      <c r="G207" s="256">
        <v>0</v>
      </c>
      <c r="H207" s="258">
        <v>0</v>
      </c>
      <c r="I207" s="256">
        <v>1</v>
      </c>
      <c r="J207" s="27">
        <v>0</v>
      </c>
      <c r="K207" s="254">
        <v>1</v>
      </c>
      <c r="L207" s="27">
        <v>0</v>
      </c>
      <c r="M207" s="254">
        <v>0</v>
      </c>
      <c r="N207" s="27">
        <v>1</v>
      </c>
      <c r="O207" s="264">
        <v>0</v>
      </c>
    </row>
    <row r="208" spans="1:15" ht="12.75">
      <c r="A208" s="93">
        <v>206</v>
      </c>
      <c r="B208" s="115">
        <v>2918</v>
      </c>
      <c r="C208" s="254">
        <v>1</v>
      </c>
      <c r="D208" s="27">
        <v>52</v>
      </c>
      <c r="E208" s="255">
        <v>3.338</v>
      </c>
      <c r="F208" s="258">
        <v>0</v>
      </c>
      <c r="G208" s="256">
        <v>1</v>
      </c>
      <c r="H208" s="258">
        <v>0</v>
      </c>
      <c r="I208" s="256">
        <v>0</v>
      </c>
      <c r="J208" s="27">
        <v>0</v>
      </c>
      <c r="K208" s="254">
        <v>1</v>
      </c>
      <c r="L208" s="27">
        <v>0</v>
      </c>
      <c r="M208" s="254">
        <v>0</v>
      </c>
      <c r="N208" s="27">
        <v>1</v>
      </c>
      <c r="O208" s="264">
        <v>0</v>
      </c>
    </row>
    <row r="209" spans="1:15" ht="12.75">
      <c r="A209" s="93">
        <v>207</v>
      </c>
      <c r="B209" s="115">
        <v>1564</v>
      </c>
      <c r="C209" s="254">
        <v>0</v>
      </c>
      <c r="D209" s="27">
        <v>54</v>
      </c>
      <c r="E209" s="255">
        <v>3.973</v>
      </c>
      <c r="F209" s="258">
        <v>0</v>
      </c>
      <c r="G209" s="256">
        <v>0</v>
      </c>
      <c r="H209" s="258">
        <v>0</v>
      </c>
      <c r="I209" s="256">
        <v>1</v>
      </c>
      <c r="J209" s="27">
        <v>0</v>
      </c>
      <c r="K209" s="254">
        <v>1</v>
      </c>
      <c r="L209" s="27">
        <v>0</v>
      </c>
      <c r="M209" s="254">
        <v>0</v>
      </c>
      <c r="N209" s="27">
        <v>1</v>
      </c>
      <c r="O209" s="264">
        <v>0</v>
      </c>
    </row>
    <row r="210" spans="1:15" ht="12.75">
      <c r="A210" s="93">
        <v>208</v>
      </c>
      <c r="B210" s="115">
        <v>2567</v>
      </c>
      <c r="C210" s="254">
        <v>0</v>
      </c>
      <c r="D210" s="27">
        <v>51</v>
      </c>
      <c r="E210" s="255">
        <v>3.539</v>
      </c>
      <c r="F210" s="258">
        <v>0</v>
      </c>
      <c r="G210" s="256">
        <v>0</v>
      </c>
      <c r="H210" s="258">
        <v>1</v>
      </c>
      <c r="I210" s="256">
        <v>0</v>
      </c>
      <c r="J210" s="27">
        <v>0</v>
      </c>
      <c r="K210" s="254">
        <v>1</v>
      </c>
      <c r="L210" s="27">
        <v>0</v>
      </c>
      <c r="M210" s="254">
        <v>0</v>
      </c>
      <c r="N210" s="27">
        <v>1</v>
      </c>
      <c r="O210" s="264">
        <v>0</v>
      </c>
    </row>
    <row r="211" spans="1:15" ht="12.75">
      <c r="A211" s="93">
        <v>209</v>
      </c>
      <c r="B211" s="115">
        <v>3256</v>
      </c>
      <c r="C211" s="254">
        <v>1</v>
      </c>
      <c r="D211" s="27">
        <v>55</v>
      </c>
      <c r="E211" s="255">
        <v>3.581</v>
      </c>
      <c r="F211" s="258">
        <v>0</v>
      </c>
      <c r="G211" s="256">
        <v>0</v>
      </c>
      <c r="H211" s="258">
        <v>1</v>
      </c>
      <c r="I211" s="256">
        <v>0</v>
      </c>
      <c r="J211" s="27">
        <v>0</v>
      </c>
      <c r="K211" s="254">
        <v>1</v>
      </c>
      <c r="L211" s="27">
        <v>0</v>
      </c>
      <c r="M211" s="254">
        <v>0</v>
      </c>
      <c r="N211" s="27">
        <v>1</v>
      </c>
      <c r="O211" s="264">
        <v>0</v>
      </c>
    </row>
    <row r="212" spans="1:15" ht="12.75">
      <c r="A212" s="93">
        <v>210</v>
      </c>
      <c r="B212" s="115">
        <v>4568</v>
      </c>
      <c r="C212" s="254">
        <v>0</v>
      </c>
      <c r="D212" s="27">
        <v>52</v>
      </c>
      <c r="E212" s="255">
        <v>3.862</v>
      </c>
      <c r="F212" s="258">
        <v>0</v>
      </c>
      <c r="G212" s="256">
        <v>0</v>
      </c>
      <c r="H212" s="258">
        <v>1</v>
      </c>
      <c r="I212" s="256">
        <v>0</v>
      </c>
      <c r="J212" s="27">
        <v>1</v>
      </c>
      <c r="K212" s="254">
        <v>0</v>
      </c>
      <c r="L212" s="27">
        <v>0</v>
      </c>
      <c r="M212" s="254">
        <v>1</v>
      </c>
      <c r="N212" s="27">
        <v>0</v>
      </c>
      <c r="O212" s="264">
        <v>0</v>
      </c>
    </row>
    <row r="213" spans="1:15" ht="12.75">
      <c r="A213" s="93">
        <v>211</v>
      </c>
      <c r="B213" s="115">
        <v>3163</v>
      </c>
      <c r="C213" s="254">
        <v>1</v>
      </c>
      <c r="D213" s="27">
        <v>50</v>
      </c>
      <c r="E213" s="255">
        <v>3.679</v>
      </c>
      <c r="F213" s="258">
        <v>0</v>
      </c>
      <c r="G213" s="256">
        <v>0</v>
      </c>
      <c r="H213" s="258">
        <v>1</v>
      </c>
      <c r="I213" s="256">
        <v>0</v>
      </c>
      <c r="J213" s="27">
        <v>1</v>
      </c>
      <c r="K213" s="254">
        <v>0</v>
      </c>
      <c r="L213" s="27">
        <v>0</v>
      </c>
      <c r="M213" s="254">
        <v>1</v>
      </c>
      <c r="N213" s="27">
        <v>0</v>
      </c>
      <c r="O213" s="264">
        <v>0</v>
      </c>
    </row>
    <row r="214" spans="1:15" ht="12.75">
      <c r="A214" s="93">
        <v>212</v>
      </c>
      <c r="B214" s="115">
        <v>810</v>
      </c>
      <c r="C214" s="254">
        <v>1</v>
      </c>
      <c r="D214" s="27">
        <v>54</v>
      </c>
      <c r="E214" s="255">
        <v>3.329</v>
      </c>
      <c r="F214" s="258">
        <v>0</v>
      </c>
      <c r="G214" s="256">
        <v>1</v>
      </c>
      <c r="H214" s="258">
        <v>0</v>
      </c>
      <c r="I214" s="256">
        <v>0</v>
      </c>
      <c r="J214" s="27">
        <v>0</v>
      </c>
      <c r="K214" s="254">
        <v>1</v>
      </c>
      <c r="L214" s="27">
        <v>0</v>
      </c>
      <c r="M214" s="254">
        <v>0</v>
      </c>
      <c r="N214" s="27">
        <v>1</v>
      </c>
      <c r="O214" s="264">
        <v>0</v>
      </c>
    </row>
    <row r="215" spans="1:15" ht="12.75">
      <c r="A215" s="93">
        <v>213</v>
      </c>
      <c r="B215" s="115">
        <v>450</v>
      </c>
      <c r="C215" s="254">
        <v>1</v>
      </c>
      <c r="D215" s="27">
        <v>52</v>
      </c>
      <c r="E215" s="255">
        <v>3.399</v>
      </c>
      <c r="F215" s="258">
        <v>0</v>
      </c>
      <c r="G215" s="256">
        <v>1</v>
      </c>
      <c r="H215" s="258">
        <v>0</v>
      </c>
      <c r="I215" s="256">
        <v>0</v>
      </c>
      <c r="J215" s="27">
        <v>0</v>
      </c>
      <c r="K215" s="254">
        <v>1</v>
      </c>
      <c r="L215" s="27">
        <v>0</v>
      </c>
      <c r="M215" s="254">
        <v>0</v>
      </c>
      <c r="N215" s="27">
        <v>1</v>
      </c>
      <c r="O215" s="264">
        <v>0</v>
      </c>
    </row>
    <row r="216" spans="1:15" ht="12.75">
      <c r="A216" s="93">
        <v>214</v>
      </c>
      <c r="B216" s="115">
        <v>3364</v>
      </c>
      <c r="C216" s="254">
        <v>1</v>
      </c>
      <c r="D216" s="27">
        <v>53</v>
      </c>
      <c r="E216" s="255">
        <v>3.414</v>
      </c>
      <c r="F216" s="258">
        <v>0</v>
      </c>
      <c r="G216" s="256">
        <v>1</v>
      </c>
      <c r="H216" s="258">
        <v>0</v>
      </c>
      <c r="I216" s="256">
        <v>0</v>
      </c>
      <c r="J216" s="27">
        <v>0</v>
      </c>
      <c r="K216" s="254">
        <v>0</v>
      </c>
      <c r="L216" s="27">
        <v>1</v>
      </c>
      <c r="M216" s="254">
        <v>0</v>
      </c>
      <c r="N216" s="27">
        <v>1</v>
      </c>
      <c r="O216" s="264">
        <v>0</v>
      </c>
    </row>
    <row r="217" spans="1:15" ht="12.75">
      <c r="A217" s="93">
        <v>215</v>
      </c>
      <c r="B217" s="115">
        <v>3740</v>
      </c>
      <c r="C217" s="254">
        <v>0</v>
      </c>
      <c r="D217" s="27">
        <v>54</v>
      </c>
      <c r="E217" s="255">
        <v>3.47</v>
      </c>
      <c r="F217" s="258">
        <v>0</v>
      </c>
      <c r="G217" s="256">
        <v>0</v>
      </c>
      <c r="H217" s="258">
        <v>1</v>
      </c>
      <c r="I217" s="256">
        <v>0</v>
      </c>
      <c r="J217" s="27">
        <v>0</v>
      </c>
      <c r="K217" s="254">
        <v>1</v>
      </c>
      <c r="L217" s="27">
        <v>0</v>
      </c>
      <c r="M217" s="254">
        <v>0</v>
      </c>
      <c r="N217" s="27">
        <v>1</v>
      </c>
      <c r="O217" s="264">
        <v>0</v>
      </c>
    </row>
    <row r="218" spans="1:15" ht="12.75">
      <c r="A218" s="93">
        <v>216</v>
      </c>
      <c r="B218" s="115">
        <v>3794</v>
      </c>
      <c r="C218" s="254">
        <v>1</v>
      </c>
      <c r="D218" s="27">
        <v>56</v>
      </c>
      <c r="E218" s="255">
        <v>3.349</v>
      </c>
      <c r="F218" s="258">
        <v>0</v>
      </c>
      <c r="G218" s="256">
        <v>1</v>
      </c>
      <c r="H218" s="258">
        <v>0</v>
      </c>
      <c r="I218" s="256">
        <v>0</v>
      </c>
      <c r="J218" s="27">
        <v>1</v>
      </c>
      <c r="K218" s="254">
        <v>0</v>
      </c>
      <c r="L218" s="27">
        <v>0</v>
      </c>
      <c r="M218" s="254">
        <v>1</v>
      </c>
      <c r="N218" s="27">
        <v>0</v>
      </c>
      <c r="O218" s="264">
        <v>0</v>
      </c>
    </row>
    <row r="219" spans="1:15" ht="12.75">
      <c r="A219" s="93">
        <v>217</v>
      </c>
      <c r="B219" s="115">
        <v>1493</v>
      </c>
      <c r="C219" s="254">
        <v>1</v>
      </c>
      <c r="D219" s="27">
        <v>55</v>
      </c>
      <c r="E219" s="255">
        <v>3.37</v>
      </c>
      <c r="F219" s="258">
        <v>0</v>
      </c>
      <c r="G219" s="256">
        <v>0</v>
      </c>
      <c r="H219" s="258">
        <v>1</v>
      </c>
      <c r="I219" s="256">
        <v>0</v>
      </c>
      <c r="J219" s="27">
        <v>0</v>
      </c>
      <c r="K219" s="254">
        <v>0</v>
      </c>
      <c r="L219" s="27">
        <v>1</v>
      </c>
      <c r="M219" s="254">
        <v>0</v>
      </c>
      <c r="N219" s="27">
        <v>0</v>
      </c>
      <c r="O219" s="264">
        <v>1</v>
      </c>
    </row>
    <row r="220" spans="1:15" ht="12.75">
      <c r="A220" s="93">
        <v>218</v>
      </c>
      <c r="B220" s="115">
        <v>1</v>
      </c>
      <c r="C220" s="254">
        <v>1</v>
      </c>
      <c r="D220" s="27">
        <v>53</v>
      </c>
      <c r="E220" s="255">
        <v>2.622</v>
      </c>
      <c r="F220" s="258">
        <v>0</v>
      </c>
      <c r="G220" s="256">
        <v>1</v>
      </c>
      <c r="H220" s="258">
        <v>0</v>
      </c>
      <c r="I220" s="256">
        <v>0</v>
      </c>
      <c r="J220" s="27">
        <v>0</v>
      </c>
      <c r="K220" s="254">
        <v>0</v>
      </c>
      <c r="L220" s="27">
        <v>1</v>
      </c>
      <c r="M220" s="254">
        <v>0</v>
      </c>
      <c r="N220" s="27">
        <v>1</v>
      </c>
      <c r="O220" s="264">
        <v>0</v>
      </c>
    </row>
    <row r="221" spans="1:15" ht="12.75">
      <c r="A221" s="93">
        <v>219</v>
      </c>
      <c r="B221" s="115">
        <v>3337</v>
      </c>
      <c r="C221" s="254">
        <v>1</v>
      </c>
      <c r="D221" s="27">
        <v>51</v>
      </c>
      <c r="E221" s="255">
        <v>4.062</v>
      </c>
      <c r="F221" s="258">
        <v>0</v>
      </c>
      <c r="G221" s="256">
        <v>0</v>
      </c>
      <c r="H221" s="258">
        <v>0</v>
      </c>
      <c r="I221" s="256">
        <v>1</v>
      </c>
      <c r="J221" s="27">
        <v>1</v>
      </c>
      <c r="K221" s="254">
        <v>0</v>
      </c>
      <c r="L221" s="27">
        <v>0</v>
      </c>
      <c r="M221" s="254">
        <v>1</v>
      </c>
      <c r="N221" s="27">
        <v>0</v>
      </c>
      <c r="O221" s="264">
        <v>0</v>
      </c>
    </row>
    <row r="222" spans="1:15" ht="12.75">
      <c r="A222" s="93">
        <v>220</v>
      </c>
      <c r="B222" s="115">
        <v>1291</v>
      </c>
      <c r="C222" s="254">
        <v>1</v>
      </c>
      <c r="D222" s="27">
        <v>54</v>
      </c>
      <c r="E222" s="255">
        <v>3.221</v>
      </c>
      <c r="F222" s="258">
        <v>0</v>
      </c>
      <c r="G222" s="256">
        <v>1</v>
      </c>
      <c r="H222" s="258">
        <v>0</v>
      </c>
      <c r="I222" s="256">
        <v>0</v>
      </c>
      <c r="J222" s="27">
        <v>0</v>
      </c>
      <c r="K222" s="254">
        <v>1</v>
      </c>
      <c r="L222" s="27">
        <v>0</v>
      </c>
      <c r="M222" s="254">
        <v>0</v>
      </c>
      <c r="N222" s="27">
        <v>0</v>
      </c>
      <c r="O222" s="264">
        <v>1</v>
      </c>
    </row>
    <row r="223" spans="1:15" ht="12.75">
      <c r="A223" s="93">
        <v>221</v>
      </c>
      <c r="B223" s="115">
        <v>3995</v>
      </c>
      <c r="C223" s="254">
        <v>0</v>
      </c>
      <c r="D223" s="27">
        <v>53</v>
      </c>
      <c r="E223" s="255">
        <v>3.008</v>
      </c>
      <c r="F223" s="258">
        <v>1</v>
      </c>
      <c r="G223" s="256">
        <v>0</v>
      </c>
      <c r="H223" s="258">
        <v>0</v>
      </c>
      <c r="I223" s="256">
        <v>0</v>
      </c>
      <c r="J223" s="27">
        <v>0</v>
      </c>
      <c r="K223" s="254">
        <v>1</v>
      </c>
      <c r="L223" s="27">
        <v>0</v>
      </c>
      <c r="M223" s="254">
        <v>0</v>
      </c>
      <c r="N223" s="27">
        <v>0</v>
      </c>
      <c r="O223" s="264">
        <v>1</v>
      </c>
    </row>
    <row r="224" spans="1:15" ht="12.75">
      <c r="A224" s="93">
        <v>222</v>
      </c>
      <c r="B224" s="115">
        <v>1788</v>
      </c>
      <c r="C224" s="254">
        <v>0</v>
      </c>
      <c r="D224" s="27">
        <v>51</v>
      </c>
      <c r="E224" s="255">
        <v>3.554</v>
      </c>
      <c r="F224" s="258">
        <v>0</v>
      </c>
      <c r="G224" s="256">
        <v>0</v>
      </c>
      <c r="H224" s="258">
        <v>1</v>
      </c>
      <c r="I224" s="256">
        <v>0</v>
      </c>
      <c r="J224" s="27">
        <v>0</v>
      </c>
      <c r="K224" s="254">
        <v>1</v>
      </c>
      <c r="L224" s="27">
        <v>0</v>
      </c>
      <c r="M224" s="254">
        <v>1</v>
      </c>
      <c r="N224" s="27">
        <v>0</v>
      </c>
      <c r="O224" s="264">
        <v>0</v>
      </c>
    </row>
    <row r="225" spans="1:15" ht="12.75">
      <c r="A225" s="93">
        <v>223</v>
      </c>
      <c r="B225" s="115">
        <v>4153</v>
      </c>
      <c r="C225" s="254">
        <v>1</v>
      </c>
      <c r="D225" s="27">
        <v>50</v>
      </c>
      <c r="E225" s="255">
        <v>3.736</v>
      </c>
      <c r="F225" s="258">
        <v>0</v>
      </c>
      <c r="G225" s="256">
        <v>0</v>
      </c>
      <c r="H225" s="258">
        <v>1</v>
      </c>
      <c r="I225" s="256">
        <v>0</v>
      </c>
      <c r="J225" s="27">
        <v>0</v>
      </c>
      <c r="K225" s="254">
        <v>1</v>
      </c>
      <c r="L225" s="27">
        <v>0</v>
      </c>
      <c r="M225" s="254">
        <v>1</v>
      </c>
      <c r="N225" s="27">
        <v>0</v>
      </c>
      <c r="O225" s="264">
        <v>0</v>
      </c>
    </row>
    <row r="226" spans="1:15" ht="12.75">
      <c r="A226" s="93">
        <v>224</v>
      </c>
      <c r="B226" s="115">
        <v>1721</v>
      </c>
      <c r="C226" s="254">
        <v>1</v>
      </c>
      <c r="D226" s="27">
        <v>54</v>
      </c>
      <c r="E226" s="255">
        <v>4.734</v>
      </c>
      <c r="F226" s="258">
        <v>0</v>
      </c>
      <c r="G226" s="256">
        <v>0</v>
      </c>
      <c r="H226" s="258">
        <v>0</v>
      </c>
      <c r="I226" s="256">
        <v>1</v>
      </c>
      <c r="J226" s="27">
        <v>0</v>
      </c>
      <c r="K226" s="254">
        <v>0</v>
      </c>
      <c r="L226" s="27">
        <v>1</v>
      </c>
      <c r="M226" s="254">
        <v>0</v>
      </c>
      <c r="N226" s="27">
        <v>1</v>
      </c>
      <c r="O226" s="264">
        <v>0</v>
      </c>
    </row>
    <row r="227" spans="1:15" ht="12.75">
      <c r="A227" s="93">
        <v>225</v>
      </c>
      <c r="B227" s="115">
        <v>493</v>
      </c>
      <c r="C227" s="254">
        <v>0</v>
      </c>
      <c r="D227" s="27">
        <v>54</v>
      </c>
      <c r="E227" s="255">
        <v>3.431</v>
      </c>
      <c r="F227" s="258">
        <v>0</v>
      </c>
      <c r="G227" s="256">
        <v>0</v>
      </c>
      <c r="H227" s="258">
        <v>1</v>
      </c>
      <c r="I227" s="256">
        <v>0</v>
      </c>
      <c r="J227" s="27">
        <v>1</v>
      </c>
      <c r="K227" s="254">
        <v>0</v>
      </c>
      <c r="L227" s="27">
        <v>0</v>
      </c>
      <c r="M227" s="254">
        <v>1</v>
      </c>
      <c r="N227" s="27">
        <v>0</v>
      </c>
      <c r="O227" s="264">
        <v>0</v>
      </c>
    </row>
    <row r="228" spans="1:15" ht="12.75">
      <c r="A228" s="93">
        <v>226</v>
      </c>
      <c r="B228" s="115">
        <v>2880</v>
      </c>
      <c r="C228" s="254">
        <v>1</v>
      </c>
      <c r="D228" s="27">
        <v>53</v>
      </c>
      <c r="E228" s="255">
        <v>3.756</v>
      </c>
      <c r="F228" s="258">
        <v>0</v>
      </c>
      <c r="G228" s="256">
        <v>0</v>
      </c>
      <c r="H228" s="258">
        <v>1</v>
      </c>
      <c r="I228" s="256">
        <v>0</v>
      </c>
      <c r="J228" s="27">
        <v>0</v>
      </c>
      <c r="K228" s="254">
        <v>0</v>
      </c>
      <c r="L228" s="27">
        <v>1</v>
      </c>
      <c r="M228" s="254">
        <v>0</v>
      </c>
      <c r="N228" s="27">
        <v>1</v>
      </c>
      <c r="O228" s="264">
        <v>0</v>
      </c>
    </row>
    <row r="229" spans="1:15" ht="12.75">
      <c r="A229" s="93">
        <v>227</v>
      </c>
      <c r="B229" s="115">
        <v>152</v>
      </c>
      <c r="C229" s="254">
        <v>0</v>
      </c>
      <c r="D229" s="27">
        <v>54</v>
      </c>
      <c r="E229" s="255">
        <v>4.269</v>
      </c>
      <c r="F229" s="258">
        <v>0</v>
      </c>
      <c r="G229" s="256">
        <v>0</v>
      </c>
      <c r="H229" s="258">
        <v>0</v>
      </c>
      <c r="I229" s="256">
        <v>1</v>
      </c>
      <c r="J229" s="27">
        <v>0</v>
      </c>
      <c r="K229" s="254">
        <v>1</v>
      </c>
      <c r="L229" s="27">
        <v>0</v>
      </c>
      <c r="M229" s="254">
        <v>1</v>
      </c>
      <c r="N229" s="27">
        <v>0</v>
      </c>
      <c r="O229" s="264">
        <v>0</v>
      </c>
    </row>
    <row r="230" spans="1:15" ht="12.75">
      <c r="A230" s="93">
        <v>228</v>
      </c>
      <c r="B230" s="115">
        <v>2820</v>
      </c>
      <c r="C230" s="254">
        <v>1</v>
      </c>
      <c r="D230" s="27">
        <v>56</v>
      </c>
      <c r="E230" s="255">
        <v>2.952</v>
      </c>
      <c r="F230" s="258">
        <v>1</v>
      </c>
      <c r="G230" s="256">
        <v>0</v>
      </c>
      <c r="H230" s="258">
        <v>0</v>
      </c>
      <c r="I230" s="256">
        <v>0</v>
      </c>
      <c r="J230" s="27">
        <v>0</v>
      </c>
      <c r="K230" s="254">
        <v>1</v>
      </c>
      <c r="L230" s="27">
        <v>0</v>
      </c>
      <c r="M230" s="254">
        <v>1</v>
      </c>
      <c r="N230" s="27">
        <v>0</v>
      </c>
      <c r="O230" s="264">
        <v>0</v>
      </c>
    </row>
    <row r="231" spans="1:15" ht="12.75">
      <c r="A231" s="93">
        <v>229</v>
      </c>
      <c r="B231" s="115">
        <v>4534</v>
      </c>
      <c r="C231" s="254">
        <v>0</v>
      </c>
      <c r="D231" s="27">
        <v>52</v>
      </c>
      <c r="E231" s="255">
        <v>4.809</v>
      </c>
      <c r="F231" s="258">
        <v>0</v>
      </c>
      <c r="G231" s="256">
        <v>0</v>
      </c>
      <c r="H231" s="258">
        <v>0</v>
      </c>
      <c r="I231" s="256">
        <v>1</v>
      </c>
      <c r="J231" s="27">
        <v>0</v>
      </c>
      <c r="K231" s="254">
        <v>0</v>
      </c>
      <c r="L231" s="27">
        <v>1</v>
      </c>
      <c r="M231" s="254">
        <v>0</v>
      </c>
      <c r="N231" s="27">
        <v>0</v>
      </c>
      <c r="O231" s="264">
        <v>1</v>
      </c>
    </row>
    <row r="232" spans="1:15" ht="12.75">
      <c r="A232" s="93">
        <v>230</v>
      </c>
      <c r="B232" s="115">
        <v>2848</v>
      </c>
      <c r="C232" s="254">
        <v>0</v>
      </c>
      <c r="D232" s="27">
        <v>51</v>
      </c>
      <c r="E232" s="255">
        <v>3.335</v>
      </c>
      <c r="F232" s="258">
        <v>0</v>
      </c>
      <c r="G232" s="256">
        <v>1</v>
      </c>
      <c r="H232" s="258">
        <v>0</v>
      </c>
      <c r="I232" s="256">
        <v>0</v>
      </c>
      <c r="J232" s="27">
        <v>0</v>
      </c>
      <c r="K232" s="254">
        <v>1</v>
      </c>
      <c r="L232" s="27">
        <v>0</v>
      </c>
      <c r="M232" s="254">
        <v>1</v>
      </c>
      <c r="N232" s="27">
        <v>0</v>
      </c>
      <c r="O232" s="264">
        <v>0</v>
      </c>
    </row>
    <row r="233" spans="1:15" ht="12.75">
      <c r="A233" s="93">
        <v>231</v>
      </c>
      <c r="B233" s="115">
        <v>529</v>
      </c>
      <c r="C233" s="254">
        <v>1</v>
      </c>
      <c r="D233" s="27">
        <v>53</v>
      </c>
      <c r="E233" s="255">
        <v>3.74</v>
      </c>
      <c r="F233" s="258">
        <v>0</v>
      </c>
      <c r="G233" s="256">
        <v>0</v>
      </c>
      <c r="H233" s="258">
        <v>1</v>
      </c>
      <c r="I233" s="256">
        <v>0</v>
      </c>
      <c r="J233" s="27">
        <v>0</v>
      </c>
      <c r="K233" s="254">
        <v>1</v>
      </c>
      <c r="L233" s="27">
        <v>0</v>
      </c>
      <c r="M233" s="254">
        <v>0</v>
      </c>
      <c r="N233" s="27">
        <v>1</v>
      </c>
      <c r="O233" s="264">
        <v>0</v>
      </c>
    </row>
    <row r="234" spans="1:15" ht="12.75">
      <c r="A234" s="93">
        <v>232</v>
      </c>
      <c r="B234" s="115">
        <v>3345</v>
      </c>
      <c r="C234" s="254">
        <v>1</v>
      </c>
      <c r="D234" s="27">
        <v>53</v>
      </c>
      <c r="E234" s="255">
        <v>2.604</v>
      </c>
      <c r="F234" s="258">
        <v>1</v>
      </c>
      <c r="G234" s="256">
        <v>0</v>
      </c>
      <c r="H234" s="258">
        <v>0</v>
      </c>
      <c r="I234" s="256">
        <v>0</v>
      </c>
      <c r="J234" s="27">
        <v>0</v>
      </c>
      <c r="K234" s="254">
        <v>1</v>
      </c>
      <c r="L234" s="27">
        <v>0</v>
      </c>
      <c r="M234" s="254">
        <v>1</v>
      </c>
      <c r="N234" s="27">
        <v>0</v>
      </c>
      <c r="O234" s="264">
        <v>0</v>
      </c>
    </row>
    <row r="235" spans="1:15" ht="12.75">
      <c r="A235" s="93">
        <v>233</v>
      </c>
      <c r="B235" s="115">
        <v>1468</v>
      </c>
      <c r="C235" s="254">
        <v>0</v>
      </c>
      <c r="D235" s="27">
        <v>53</v>
      </c>
      <c r="E235" s="255">
        <v>3.193</v>
      </c>
      <c r="F235" s="258">
        <v>0</v>
      </c>
      <c r="G235" s="256">
        <v>1</v>
      </c>
      <c r="H235" s="258">
        <v>0</v>
      </c>
      <c r="I235" s="256">
        <v>0</v>
      </c>
      <c r="J235" s="27">
        <v>1</v>
      </c>
      <c r="K235" s="254">
        <v>0</v>
      </c>
      <c r="L235" s="27">
        <v>0</v>
      </c>
      <c r="M235" s="254">
        <v>1</v>
      </c>
      <c r="N235" s="27">
        <v>0</v>
      </c>
      <c r="O235" s="264">
        <v>0</v>
      </c>
    </row>
    <row r="236" spans="1:15" ht="12.75">
      <c r="A236" s="93">
        <v>234</v>
      </c>
      <c r="B236" s="115">
        <v>2187</v>
      </c>
      <c r="C236" s="254">
        <v>1</v>
      </c>
      <c r="D236" s="27">
        <v>54</v>
      </c>
      <c r="E236" s="255">
        <v>3.591</v>
      </c>
      <c r="F236" s="258">
        <v>0</v>
      </c>
      <c r="G236" s="256">
        <v>0</v>
      </c>
      <c r="H236" s="258">
        <v>1</v>
      </c>
      <c r="I236" s="256">
        <v>0</v>
      </c>
      <c r="J236" s="27">
        <v>0</v>
      </c>
      <c r="K236" s="254">
        <v>1</v>
      </c>
      <c r="L236" s="27">
        <v>0</v>
      </c>
      <c r="M236" s="254">
        <v>0</v>
      </c>
      <c r="N236" s="27">
        <v>1</v>
      </c>
      <c r="O236" s="264">
        <v>0</v>
      </c>
    </row>
    <row r="237" spans="1:15" ht="12.75">
      <c r="A237" s="93">
        <v>235</v>
      </c>
      <c r="B237" s="115">
        <v>4145</v>
      </c>
      <c r="C237" s="254">
        <v>0</v>
      </c>
      <c r="D237" s="27">
        <v>51</v>
      </c>
      <c r="E237" s="255">
        <v>2.813</v>
      </c>
      <c r="F237" s="258">
        <v>1</v>
      </c>
      <c r="G237" s="256">
        <v>0</v>
      </c>
      <c r="H237" s="258">
        <v>0</v>
      </c>
      <c r="I237" s="256">
        <v>0</v>
      </c>
      <c r="J237" s="27">
        <v>1</v>
      </c>
      <c r="K237" s="254">
        <v>0</v>
      </c>
      <c r="L237" s="27">
        <v>0</v>
      </c>
      <c r="M237" s="254">
        <v>1</v>
      </c>
      <c r="N237" s="27">
        <v>0</v>
      </c>
      <c r="O237" s="264">
        <v>0</v>
      </c>
    </row>
    <row r="238" spans="1:15" ht="12.75">
      <c r="A238" s="93">
        <v>236</v>
      </c>
      <c r="B238" s="115">
        <v>3323</v>
      </c>
      <c r="C238" s="254">
        <v>1</v>
      </c>
      <c r="D238" s="27">
        <v>51</v>
      </c>
      <c r="E238" s="255">
        <v>3.854</v>
      </c>
      <c r="F238" s="258">
        <v>0</v>
      </c>
      <c r="G238" s="256">
        <v>0</v>
      </c>
      <c r="H238" s="258">
        <v>1</v>
      </c>
      <c r="I238" s="256">
        <v>0</v>
      </c>
      <c r="J238" s="27">
        <v>0</v>
      </c>
      <c r="K238" s="254">
        <v>0</v>
      </c>
      <c r="L238" s="27">
        <v>1</v>
      </c>
      <c r="M238" s="254">
        <v>0</v>
      </c>
      <c r="N238" s="27">
        <v>1</v>
      </c>
      <c r="O238" s="264">
        <v>0</v>
      </c>
    </row>
    <row r="239" spans="1:15" ht="12.75">
      <c r="A239" s="93">
        <v>237</v>
      </c>
      <c r="B239" s="115">
        <v>3494</v>
      </c>
      <c r="C239" s="254">
        <v>1</v>
      </c>
      <c r="D239" s="27">
        <v>51</v>
      </c>
      <c r="E239" s="255">
        <v>2.521</v>
      </c>
      <c r="F239" s="258">
        <v>1</v>
      </c>
      <c r="G239" s="256">
        <v>0</v>
      </c>
      <c r="H239" s="258">
        <v>0</v>
      </c>
      <c r="I239" s="256">
        <v>0</v>
      </c>
      <c r="J239" s="27">
        <v>0</v>
      </c>
      <c r="K239" s="254">
        <v>0</v>
      </c>
      <c r="L239" s="27">
        <v>1</v>
      </c>
      <c r="M239" s="254">
        <v>0</v>
      </c>
      <c r="N239" s="27">
        <v>1</v>
      </c>
      <c r="O239" s="264">
        <v>0</v>
      </c>
    </row>
    <row r="240" spans="1:15" ht="12.75">
      <c r="A240" s="93">
        <v>238</v>
      </c>
      <c r="B240" s="115">
        <v>3114</v>
      </c>
      <c r="C240" s="254">
        <v>1</v>
      </c>
      <c r="D240" s="27">
        <v>56</v>
      </c>
      <c r="E240" s="255">
        <v>3.89</v>
      </c>
      <c r="F240" s="258">
        <v>0</v>
      </c>
      <c r="G240" s="256">
        <v>0</v>
      </c>
      <c r="H240" s="258">
        <v>0</v>
      </c>
      <c r="I240" s="256">
        <v>1</v>
      </c>
      <c r="J240" s="27">
        <v>0</v>
      </c>
      <c r="K240" s="254">
        <v>1</v>
      </c>
      <c r="L240" s="27">
        <v>0</v>
      </c>
      <c r="M240" s="254">
        <v>1</v>
      </c>
      <c r="N240" s="27">
        <v>0</v>
      </c>
      <c r="O240" s="264">
        <v>0</v>
      </c>
    </row>
    <row r="241" spans="1:15" ht="12.75">
      <c r="A241" s="93">
        <v>239</v>
      </c>
      <c r="B241" s="115">
        <v>2992</v>
      </c>
      <c r="C241" s="254">
        <v>1</v>
      </c>
      <c r="D241" s="27">
        <v>54</v>
      </c>
      <c r="E241" s="255">
        <v>4.48</v>
      </c>
      <c r="F241" s="258">
        <v>0</v>
      </c>
      <c r="G241" s="256">
        <v>0</v>
      </c>
      <c r="H241" s="258">
        <v>0</v>
      </c>
      <c r="I241" s="256">
        <v>1</v>
      </c>
      <c r="J241" s="27">
        <v>0</v>
      </c>
      <c r="K241" s="254">
        <v>1</v>
      </c>
      <c r="L241" s="27">
        <v>0</v>
      </c>
      <c r="M241" s="254">
        <v>0</v>
      </c>
      <c r="N241" s="27">
        <v>1</v>
      </c>
      <c r="O241" s="264">
        <v>0</v>
      </c>
    </row>
    <row r="242" spans="1:15" ht="12.75">
      <c r="A242" s="93">
        <v>240</v>
      </c>
      <c r="B242" s="115">
        <v>1141</v>
      </c>
      <c r="C242" s="254">
        <v>1</v>
      </c>
      <c r="D242" s="27">
        <v>53</v>
      </c>
      <c r="E242" s="255">
        <v>2.969</v>
      </c>
      <c r="F242" s="258">
        <v>1</v>
      </c>
      <c r="G242" s="256">
        <v>0</v>
      </c>
      <c r="H242" s="258">
        <v>0</v>
      </c>
      <c r="I242" s="256">
        <v>0</v>
      </c>
      <c r="J242" s="27">
        <v>0</v>
      </c>
      <c r="K242" s="254">
        <v>1</v>
      </c>
      <c r="L242" s="27">
        <v>0</v>
      </c>
      <c r="M242" s="254">
        <v>0</v>
      </c>
      <c r="N242" s="27">
        <v>0</v>
      </c>
      <c r="O242" s="264">
        <v>1</v>
      </c>
    </row>
    <row r="243" spans="1:15" ht="12.75">
      <c r="A243" s="93">
        <v>241</v>
      </c>
      <c r="B243" s="115">
        <v>4196</v>
      </c>
      <c r="C243" s="254">
        <v>0</v>
      </c>
      <c r="D243" s="27">
        <v>54</v>
      </c>
      <c r="E243" s="255">
        <v>3.007</v>
      </c>
      <c r="F243" s="258">
        <v>0</v>
      </c>
      <c r="G243" s="256">
        <v>1</v>
      </c>
      <c r="H243" s="258">
        <v>0</v>
      </c>
      <c r="I243" s="256">
        <v>0</v>
      </c>
      <c r="J243" s="27">
        <v>0</v>
      </c>
      <c r="K243" s="254">
        <v>1</v>
      </c>
      <c r="L243" s="27">
        <v>0</v>
      </c>
      <c r="M243" s="254">
        <v>0</v>
      </c>
      <c r="N243" s="27">
        <v>1</v>
      </c>
      <c r="O243" s="264">
        <v>0</v>
      </c>
    </row>
    <row r="244" spans="1:15" ht="12.75">
      <c r="A244" s="93">
        <v>242</v>
      </c>
      <c r="B244" s="115">
        <v>3550</v>
      </c>
      <c r="C244" s="254">
        <v>1</v>
      </c>
      <c r="D244" s="27">
        <v>51</v>
      </c>
      <c r="E244" s="255">
        <v>4.446</v>
      </c>
      <c r="F244" s="258">
        <v>0</v>
      </c>
      <c r="G244" s="256">
        <v>0</v>
      </c>
      <c r="H244" s="258">
        <v>1</v>
      </c>
      <c r="I244" s="256">
        <v>0</v>
      </c>
      <c r="J244" s="27">
        <v>0</v>
      </c>
      <c r="K244" s="254">
        <v>1</v>
      </c>
      <c r="L244" s="27">
        <v>0</v>
      </c>
      <c r="M244" s="254">
        <v>0</v>
      </c>
      <c r="N244" s="27">
        <v>1</v>
      </c>
      <c r="O244" s="264">
        <v>0</v>
      </c>
    </row>
    <row r="245" spans="1:15" ht="12.75">
      <c r="A245" s="93">
        <v>243</v>
      </c>
      <c r="B245" s="115">
        <v>3312</v>
      </c>
      <c r="C245" s="254">
        <v>1</v>
      </c>
      <c r="D245" s="27">
        <v>50</v>
      </c>
      <c r="E245" s="255">
        <v>3.724</v>
      </c>
      <c r="F245" s="258">
        <v>0</v>
      </c>
      <c r="G245" s="256">
        <v>0</v>
      </c>
      <c r="H245" s="258">
        <v>1</v>
      </c>
      <c r="I245" s="256">
        <v>0</v>
      </c>
      <c r="J245" s="27">
        <v>0</v>
      </c>
      <c r="K245" s="254">
        <v>1</v>
      </c>
      <c r="L245" s="27">
        <v>0</v>
      </c>
      <c r="M245" s="254">
        <v>0</v>
      </c>
      <c r="N245" s="27">
        <v>1</v>
      </c>
      <c r="O245" s="264">
        <v>0</v>
      </c>
    </row>
    <row r="246" spans="1:15" ht="12.75">
      <c r="A246" s="93">
        <v>244</v>
      </c>
      <c r="B246" s="115">
        <v>1090</v>
      </c>
      <c r="C246" s="254">
        <v>0</v>
      </c>
      <c r="D246" s="27">
        <v>52</v>
      </c>
      <c r="E246" s="255">
        <v>4.143</v>
      </c>
      <c r="F246" s="258">
        <v>0</v>
      </c>
      <c r="G246" s="256">
        <v>0</v>
      </c>
      <c r="H246" s="258">
        <v>0</v>
      </c>
      <c r="I246" s="256">
        <v>1</v>
      </c>
      <c r="J246" s="27">
        <v>1</v>
      </c>
      <c r="K246" s="254">
        <v>0</v>
      </c>
      <c r="L246" s="27">
        <v>0</v>
      </c>
      <c r="M246" s="254">
        <v>1</v>
      </c>
      <c r="N246" s="27">
        <v>0</v>
      </c>
      <c r="O246" s="264">
        <v>0</v>
      </c>
    </row>
    <row r="247" spans="1:15" ht="12.75">
      <c r="A247" s="93">
        <v>245</v>
      </c>
      <c r="B247" s="115">
        <v>3111</v>
      </c>
      <c r="C247" s="254">
        <v>0</v>
      </c>
      <c r="D247" s="27">
        <v>51</v>
      </c>
      <c r="E247" s="255">
        <v>3.344</v>
      </c>
      <c r="F247" s="258">
        <v>0</v>
      </c>
      <c r="G247" s="256">
        <v>1</v>
      </c>
      <c r="H247" s="258">
        <v>0</v>
      </c>
      <c r="I247" s="256">
        <v>0</v>
      </c>
      <c r="J247" s="27">
        <v>0</v>
      </c>
      <c r="K247" s="254">
        <v>1</v>
      </c>
      <c r="L247" s="27">
        <v>0</v>
      </c>
      <c r="M247" s="254">
        <v>0</v>
      </c>
      <c r="N247" s="27">
        <v>1</v>
      </c>
      <c r="O247" s="264">
        <v>0</v>
      </c>
    </row>
    <row r="248" spans="1:15" ht="12.75">
      <c r="A248" s="93">
        <v>246</v>
      </c>
      <c r="B248" s="115">
        <v>1629</v>
      </c>
      <c r="C248" s="254">
        <v>1</v>
      </c>
      <c r="D248" s="27">
        <v>55</v>
      </c>
      <c r="E248" s="255">
        <v>3.654</v>
      </c>
      <c r="F248" s="258">
        <v>0</v>
      </c>
      <c r="G248" s="256">
        <v>0</v>
      </c>
      <c r="H248" s="258">
        <v>1</v>
      </c>
      <c r="I248" s="256">
        <v>0</v>
      </c>
      <c r="J248" s="27">
        <v>1</v>
      </c>
      <c r="K248" s="254">
        <v>0</v>
      </c>
      <c r="L248" s="27">
        <v>0</v>
      </c>
      <c r="M248" s="254">
        <v>1</v>
      </c>
      <c r="N248" s="27">
        <v>0</v>
      </c>
      <c r="O248" s="264">
        <v>0</v>
      </c>
    </row>
    <row r="249" spans="1:15" ht="12.75">
      <c r="A249" s="93">
        <v>247</v>
      </c>
      <c r="B249" s="115">
        <v>939</v>
      </c>
      <c r="C249" s="254">
        <v>1</v>
      </c>
      <c r="D249" s="27">
        <v>54</v>
      </c>
      <c r="E249" s="255">
        <v>3.689</v>
      </c>
      <c r="F249" s="258">
        <v>0</v>
      </c>
      <c r="G249" s="256">
        <v>0</v>
      </c>
      <c r="H249" s="258">
        <v>1</v>
      </c>
      <c r="I249" s="256">
        <v>0</v>
      </c>
      <c r="J249" s="27">
        <v>0</v>
      </c>
      <c r="K249" s="254">
        <v>0</v>
      </c>
      <c r="L249" s="27">
        <v>1</v>
      </c>
      <c r="M249" s="254">
        <v>0</v>
      </c>
      <c r="N249" s="27">
        <v>1</v>
      </c>
      <c r="O249" s="264">
        <v>0</v>
      </c>
    </row>
    <row r="250" spans="1:15" ht="12.75">
      <c r="A250" s="93">
        <v>248</v>
      </c>
      <c r="B250" s="115">
        <v>3868</v>
      </c>
      <c r="C250" s="254">
        <v>1</v>
      </c>
      <c r="D250" s="27">
        <v>53</v>
      </c>
      <c r="E250" s="255">
        <v>4.689</v>
      </c>
      <c r="F250" s="258">
        <v>0</v>
      </c>
      <c r="G250" s="256">
        <v>0</v>
      </c>
      <c r="H250" s="258">
        <v>0</v>
      </c>
      <c r="I250" s="256">
        <v>1</v>
      </c>
      <c r="J250" s="27">
        <v>0</v>
      </c>
      <c r="K250" s="254">
        <v>1</v>
      </c>
      <c r="L250" s="27">
        <v>0</v>
      </c>
      <c r="M250" s="254">
        <v>1</v>
      </c>
      <c r="N250" s="27">
        <v>0</v>
      </c>
      <c r="O250" s="264">
        <v>0</v>
      </c>
    </row>
    <row r="251" spans="1:15" ht="12.75">
      <c r="A251" s="93">
        <v>249</v>
      </c>
      <c r="B251" s="115">
        <v>134</v>
      </c>
      <c r="C251" s="254">
        <v>1</v>
      </c>
      <c r="D251" s="27">
        <v>52</v>
      </c>
      <c r="E251" s="255">
        <v>3.872</v>
      </c>
      <c r="F251" s="258">
        <v>0</v>
      </c>
      <c r="G251" s="256">
        <v>0</v>
      </c>
      <c r="H251" s="258">
        <v>0</v>
      </c>
      <c r="I251" s="256">
        <v>1</v>
      </c>
      <c r="J251" s="27">
        <v>0</v>
      </c>
      <c r="K251" s="254">
        <v>1</v>
      </c>
      <c r="L251" s="27">
        <v>0</v>
      </c>
      <c r="M251" s="254">
        <v>0</v>
      </c>
      <c r="N251" s="27">
        <v>1</v>
      </c>
      <c r="O251" s="264">
        <v>0</v>
      </c>
    </row>
    <row r="252" spans="1:15" ht="12.75">
      <c r="A252" s="93">
        <v>250</v>
      </c>
      <c r="B252" s="115">
        <v>2181</v>
      </c>
      <c r="C252" s="254">
        <v>1</v>
      </c>
      <c r="D252" s="27">
        <v>54</v>
      </c>
      <c r="E252" s="255">
        <v>3.134</v>
      </c>
      <c r="F252" s="258">
        <v>0</v>
      </c>
      <c r="G252" s="256">
        <v>1</v>
      </c>
      <c r="H252" s="258">
        <v>0</v>
      </c>
      <c r="I252" s="256">
        <v>0</v>
      </c>
      <c r="J252" s="27">
        <v>0</v>
      </c>
      <c r="K252" s="254">
        <v>1</v>
      </c>
      <c r="L252" s="27">
        <v>0</v>
      </c>
      <c r="M252" s="254">
        <v>0</v>
      </c>
      <c r="N252" s="27">
        <v>1</v>
      </c>
      <c r="O252" s="264">
        <v>0</v>
      </c>
    </row>
    <row r="253" spans="1:15" ht="12.75">
      <c r="A253" s="93">
        <v>251</v>
      </c>
      <c r="B253" s="115">
        <v>731</v>
      </c>
      <c r="C253" s="254">
        <v>0</v>
      </c>
      <c r="D253" s="27">
        <v>54</v>
      </c>
      <c r="E253" s="255">
        <v>3.701</v>
      </c>
      <c r="F253" s="258">
        <v>0</v>
      </c>
      <c r="G253" s="256">
        <v>0</v>
      </c>
      <c r="H253" s="258">
        <v>1</v>
      </c>
      <c r="I253" s="256">
        <v>0</v>
      </c>
      <c r="J253" s="27">
        <v>0</v>
      </c>
      <c r="K253" s="254">
        <v>1</v>
      </c>
      <c r="L253" s="27">
        <v>0</v>
      </c>
      <c r="M253" s="254">
        <v>0</v>
      </c>
      <c r="N253" s="27">
        <v>1</v>
      </c>
      <c r="O253" s="264">
        <v>0</v>
      </c>
    </row>
    <row r="254" spans="1:15" ht="12.75">
      <c r="A254" s="93">
        <v>252</v>
      </c>
      <c r="B254" s="115">
        <v>1824</v>
      </c>
      <c r="C254" s="254">
        <v>1</v>
      </c>
      <c r="D254" s="27">
        <v>55</v>
      </c>
      <c r="E254" s="255">
        <v>2.981</v>
      </c>
      <c r="F254" s="258">
        <v>1</v>
      </c>
      <c r="G254" s="256">
        <v>0</v>
      </c>
      <c r="H254" s="258">
        <v>0</v>
      </c>
      <c r="I254" s="256">
        <v>0</v>
      </c>
      <c r="J254" s="27">
        <v>0</v>
      </c>
      <c r="K254" s="254">
        <v>0</v>
      </c>
      <c r="L254" s="27">
        <v>1</v>
      </c>
      <c r="M254" s="254">
        <v>0</v>
      </c>
      <c r="N254" s="27">
        <v>0</v>
      </c>
      <c r="O254" s="264">
        <v>1</v>
      </c>
    </row>
    <row r="255" spans="1:15" ht="12.75">
      <c r="A255" s="93">
        <v>253</v>
      </c>
      <c r="B255" s="115">
        <v>3963</v>
      </c>
      <c r="C255" s="254">
        <v>0</v>
      </c>
      <c r="D255" s="27">
        <v>55</v>
      </c>
      <c r="E255" s="255">
        <v>3.222</v>
      </c>
      <c r="F255" s="258">
        <v>0</v>
      </c>
      <c r="G255" s="256">
        <v>1</v>
      </c>
      <c r="H255" s="258">
        <v>0</v>
      </c>
      <c r="I255" s="256">
        <v>0</v>
      </c>
      <c r="J255" s="27">
        <v>0</v>
      </c>
      <c r="K255" s="254">
        <v>1</v>
      </c>
      <c r="L255" s="27">
        <v>0</v>
      </c>
      <c r="M255" s="254">
        <v>0</v>
      </c>
      <c r="N255" s="27">
        <v>1</v>
      </c>
      <c r="O255" s="264">
        <v>0</v>
      </c>
    </row>
    <row r="256" spans="1:15" ht="12.75">
      <c r="A256" s="93">
        <v>254</v>
      </c>
      <c r="B256" s="115">
        <v>3775</v>
      </c>
      <c r="C256" s="254">
        <v>0</v>
      </c>
      <c r="D256" s="27">
        <v>53</v>
      </c>
      <c r="E256" s="255">
        <v>3.775</v>
      </c>
      <c r="F256" s="258">
        <v>0</v>
      </c>
      <c r="G256" s="256">
        <v>0</v>
      </c>
      <c r="H256" s="258">
        <v>0</v>
      </c>
      <c r="I256" s="256">
        <v>1</v>
      </c>
      <c r="J256" s="27">
        <v>0</v>
      </c>
      <c r="K256" s="254">
        <v>1</v>
      </c>
      <c r="L256" s="27">
        <v>0</v>
      </c>
      <c r="M256" s="254">
        <v>0</v>
      </c>
      <c r="N256" s="27">
        <v>0</v>
      </c>
      <c r="O256" s="264">
        <v>1</v>
      </c>
    </row>
    <row r="257" spans="1:15" ht="12.75">
      <c r="A257" s="93">
        <v>255</v>
      </c>
      <c r="B257" s="115">
        <v>2362</v>
      </c>
      <c r="C257" s="254">
        <v>1</v>
      </c>
      <c r="D257" s="27">
        <v>51</v>
      </c>
      <c r="E257" s="255">
        <v>2.211</v>
      </c>
      <c r="F257" s="258">
        <v>1</v>
      </c>
      <c r="G257" s="256">
        <v>0</v>
      </c>
      <c r="H257" s="258">
        <v>0</v>
      </c>
      <c r="I257" s="256">
        <v>0</v>
      </c>
      <c r="J257" s="27">
        <v>0</v>
      </c>
      <c r="K257" s="254">
        <v>1</v>
      </c>
      <c r="L257" s="27">
        <v>0</v>
      </c>
      <c r="M257" s="254">
        <v>0</v>
      </c>
      <c r="N257" s="27">
        <v>0</v>
      </c>
      <c r="O257" s="264">
        <v>1</v>
      </c>
    </row>
    <row r="258" spans="1:15" ht="12.75">
      <c r="A258" s="93">
        <v>256</v>
      </c>
      <c r="B258" s="115">
        <v>3462</v>
      </c>
      <c r="C258" s="254">
        <v>1</v>
      </c>
      <c r="D258" s="27">
        <v>56</v>
      </c>
      <c r="E258" s="255">
        <v>3.808</v>
      </c>
      <c r="F258" s="258">
        <v>0</v>
      </c>
      <c r="G258" s="256">
        <v>0</v>
      </c>
      <c r="H258" s="258">
        <v>1</v>
      </c>
      <c r="I258" s="256">
        <v>0</v>
      </c>
      <c r="J258" s="27">
        <v>0</v>
      </c>
      <c r="K258" s="254">
        <v>1</v>
      </c>
      <c r="L258" s="27">
        <v>0</v>
      </c>
      <c r="M258" s="254">
        <v>0</v>
      </c>
      <c r="N258" s="27">
        <v>1</v>
      </c>
      <c r="O258" s="264">
        <v>0</v>
      </c>
    </row>
    <row r="259" spans="1:15" ht="12.75">
      <c r="A259" s="93">
        <v>257</v>
      </c>
      <c r="B259" s="115">
        <v>3989</v>
      </c>
      <c r="C259" s="254">
        <v>1</v>
      </c>
      <c r="D259" s="27">
        <v>50</v>
      </c>
      <c r="E259" s="255">
        <v>3.312</v>
      </c>
      <c r="F259" s="258">
        <v>0</v>
      </c>
      <c r="G259" s="256">
        <v>1</v>
      </c>
      <c r="H259" s="258">
        <v>0</v>
      </c>
      <c r="I259" s="256">
        <v>0</v>
      </c>
      <c r="J259" s="27">
        <v>0</v>
      </c>
      <c r="K259" s="254">
        <v>1</v>
      </c>
      <c r="L259" s="27">
        <v>0</v>
      </c>
      <c r="M259" s="254">
        <v>0</v>
      </c>
      <c r="N259" s="27">
        <v>1</v>
      </c>
      <c r="O259" s="264">
        <v>0</v>
      </c>
    </row>
    <row r="260" spans="1:15" ht="12.75">
      <c r="A260" s="93">
        <v>258</v>
      </c>
      <c r="B260" s="115">
        <v>3433</v>
      </c>
      <c r="C260" s="254">
        <v>0</v>
      </c>
      <c r="D260" s="27">
        <v>55</v>
      </c>
      <c r="E260" s="255">
        <v>3.676</v>
      </c>
      <c r="F260" s="258">
        <v>0</v>
      </c>
      <c r="G260" s="256">
        <v>0</v>
      </c>
      <c r="H260" s="258">
        <v>1</v>
      </c>
      <c r="I260" s="256">
        <v>0</v>
      </c>
      <c r="J260" s="27">
        <v>0</v>
      </c>
      <c r="K260" s="254">
        <v>1</v>
      </c>
      <c r="L260" s="27">
        <v>0</v>
      </c>
      <c r="M260" s="254">
        <v>0</v>
      </c>
      <c r="N260" s="27">
        <v>1</v>
      </c>
      <c r="O260" s="264">
        <v>0</v>
      </c>
    </row>
    <row r="261" spans="1:15" ht="12.75">
      <c r="A261" s="93">
        <v>259</v>
      </c>
      <c r="B261" s="115">
        <v>2321</v>
      </c>
      <c r="C261" s="254">
        <v>0</v>
      </c>
      <c r="D261" s="27">
        <v>55</v>
      </c>
      <c r="E261" s="255">
        <v>4.565</v>
      </c>
      <c r="F261" s="258">
        <v>0</v>
      </c>
      <c r="G261" s="256">
        <v>0</v>
      </c>
      <c r="H261" s="258">
        <v>0</v>
      </c>
      <c r="I261" s="256">
        <v>1</v>
      </c>
      <c r="J261" s="27">
        <v>1</v>
      </c>
      <c r="K261" s="254">
        <v>0</v>
      </c>
      <c r="L261" s="27">
        <v>0</v>
      </c>
      <c r="M261" s="254">
        <v>1</v>
      </c>
      <c r="N261" s="27">
        <v>0</v>
      </c>
      <c r="O261" s="264">
        <v>0</v>
      </c>
    </row>
    <row r="262" spans="1:15" ht="12.75">
      <c r="A262" s="93">
        <v>260</v>
      </c>
      <c r="B262" s="115">
        <v>880</v>
      </c>
      <c r="C262" s="254">
        <v>1</v>
      </c>
      <c r="D262" s="27">
        <v>51</v>
      </c>
      <c r="E262" s="255">
        <v>3.81</v>
      </c>
      <c r="F262" s="258">
        <v>0</v>
      </c>
      <c r="G262" s="256">
        <v>0</v>
      </c>
      <c r="H262" s="258">
        <v>1</v>
      </c>
      <c r="I262" s="256">
        <v>0</v>
      </c>
      <c r="J262" s="27">
        <v>0</v>
      </c>
      <c r="K262" s="254">
        <v>1</v>
      </c>
      <c r="L262" s="27">
        <v>0</v>
      </c>
      <c r="M262" s="254">
        <v>1</v>
      </c>
      <c r="N262" s="27">
        <v>0</v>
      </c>
      <c r="O262" s="264">
        <v>0</v>
      </c>
    </row>
    <row r="263" spans="1:15" ht="12.75">
      <c r="A263" s="93">
        <v>261</v>
      </c>
      <c r="B263" s="115">
        <v>1293</v>
      </c>
      <c r="C263" s="254">
        <v>0</v>
      </c>
      <c r="D263" s="27">
        <v>54</v>
      </c>
      <c r="E263" s="255">
        <v>3.37</v>
      </c>
      <c r="F263" s="258">
        <v>0</v>
      </c>
      <c r="G263" s="256">
        <v>0</v>
      </c>
      <c r="H263" s="258">
        <v>1</v>
      </c>
      <c r="I263" s="256">
        <v>0</v>
      </c>
      <c r="J263" s="27">
        <v>0</v>
      </c>
      <c r="K263" s="254">
        <v>1</v>
      </c>
      <c r="L263" s="27">
        <v>0</v>
      </c>
      <c r="M263" s="254">
        <v>0</v>
      </c>
      <c r="N263" s="27">
        <v>0</v>
      </c>
      <c r="O263" s="264">
        <v>1</v>
      </c>
    </row>
    <row r="264" spans="1:15" ht="12.75">
      <c r="A264" s="93">
        <v>262</v>
      </c>
      <c r="B264" s="115">
        <v>1049</v>
      </c>
      <c r="C264" s="254">
        <v>1</v>
      </c>
      <c r="D264" s="27">
        <v>54</v>
      </c>
      <c r="E264" s="255">
        <v>3.511</v>
      </c>
      <c r="F264" s="258">
        <v>0</v>
      </c>
      <c r="G264" s="256">
        <v>0</v>
      </c>
      <c r="H264" s="258">
        <v>1</v>
      </c>
      <c r="I264" s="256">
        <v>0</v>
      </c>
      <c r="J264" s="27">
        <v>0</v>
      </c>
      <c r="K264" s="254">
        <v>1</v>
      </c>
      <c r="L264" s="27">
        <v>0</v>
      </c>
      <c r="M264" s="254">
        <v>1</v>
      </c>
      <c r="N264" s="27">
        <v>0</v>
      </c>
      <c r="O264" s="264">
        <v>0</v>
      </c>
    </row>
    <row r="265" spans="1:15" ht="12.75">
      <c r="A265" s="93">
        <v>263</v>
      </c>
      <c r="B265" s="115">
        <v>1774</v>
      </c>
      <c r="C265" s="254">
        <v>0</v>
      </c>
      <c r="D265" s="27">
        <v>54</v>
      </c>
      <c r="E265" s="255">
        <v>3.548</v>
      </c>
      <c r="F265" s="258">
        <v>0</v>
      </c>
      <c r="G265" s="256">
        <v>0</v>
      </c>
      <c r="H265" s="258">
        <v>1</v>
      </c>
      <c r="I265" s="256">
        <v>0</v>
      </c>
      <c r="J265" s="27">
        <v>0</v>
      </c>
      <c r="K265" s="254">
        <v>0</v>
      </c>
      <c r="L265" s="27">
        <v>1</v>
      </c>
      <c r="M265" s="254">
        <v>0</v>
      </c>
      <c r="N265" s="27">
        <v>0</v>
      </c>
      <c r="O265" s="264">
        <v>1</v>
      </c>
    </row>
    <row r="266" spans="1:15" ht="12.75">
      <c r="A266" s="93">
        <v>264</v>
      </c>
      <c r="B266" s="115">
        <v>4218</v>
      </c>
      <c r="C266" s="254">
        <v>0</v>
      </c>
      <c r="D266" s="27">
        <v>52</v>
      </c>
      <c r="E266" s="255">
        <v>3.344</v>
      </c>
      <c r="F266" s="258">
        <v>0</v>
      </c>
      <c r="G266" s="256">
        <v>1</v>
      </c>
      <c r="H266" s="258">
        <v>0</v>
      </c>
      <c r="I266" s="256">
        <v>0</v>
      </c>
      <c r="J266" s="27">
        <v>0</v>
      </c>
      <c r="K266" s="254">
        <v>1</v>
      </c>
      <c r="L266" s="27">
        <v>0</v>
      </c>
      <c r="M266" s="254">
        <v>0</v>
      </c>
      <c r="N266" s="27">
        <v>1</v>
      </c>
      <c r="O266" s="264">
        <v>0</v>
      </c>
    </row>
    <row r="267" spans="1:15" ht="12.75">
      <c r="A267" s="93">
        <v>265</v>
      </c>
      <c r="B267" s="115">
        <v>2570</v>
      </c>
      <c r="C267" s="254">
        <v>0</v>
      </c>
      <c r="D267" s="27">
        <v>52</v>
      </c>
      <c r="E267" s="255">
        <v>2.748</v>
      </c>
      <c r="F267" s="258">
        <v>1</v>
      </c>
      <c r="G267" s="256">
        <v>0</v>
      </c>
      <c r="H267" s="258">
        <v>0</v>
      </c>
      <c r="I267" s="256">
        <v>0</v>
      </c>
      <c r="J267" s="27">
        <v>0</v>
      </c>
      <c r="K267" s="254">
        <v>0</v>
      </c>
      <c r="L267" s="27">
        <v>1</v>
      </c>
      <c r="M267" s="254">
        <v>0</v>
      </c>
      <c r="N267" s="27">
        <v>1</v>
      </c>
      <c r="O267" s="264">
        <v>0</v>
      </c>
    </row>
    <row r="268" spans="1:15" ht="12.75">
      <c r="A268" s="94">
        <v>266</v>
      </c>
      <c r="B268" s="260">
        <v>2364</v>
      </c>
      <c r="C268" s="265">
        <v>1</v>
      </c>
      <c r="D268" s="30">
        <v>55</v>
      </c>
      <c r="E268" s="266">
        <v>3.86</v>
      </c>
      <c r="F268" s="259">
        <v>0</v>
      </c>
      <c r="G268" s="267">
        <v>0</v>
      </c>
      <c r="H268" s="259">
        <v>0</v>
      </c>
      <c r="I268" s="267">
        <v>1</v>
      </c>
      <c r="J268" s="30">
        <v>0</v>
      </c>
      <c r="K268" s="265">
        <v>1</v>
      </c>
      <c r="L268" s="30">
        <v>0</v>
      </c>
      <c r="M268" s="265">
        <v>0</v>
      </c>
      <c r="N268" s="30">
        <v>1</v>
      </c>
      <c r="O268" s="268">
        <v>0</v>
      </c>
    </row>
    <row r="269" spans="14:18" ht="12.75">
      <c r="N269" s="31"/>
      <c r="O269" s="11"/>
      <c r="P269" s="11"/>
      <c r="R269" s="31"/>
    </row>
    <row r="270" ht="12.75"/>
    <row r="271" ht="12.75"/>
    <row r="272" ht="11.25">
      <c r="A272" s="200" t="s">
        <v>254</v>
      </c>
    </row>
    <row r="273" spans="1:5" ht="12.75">
      <c r="A273" s="346"/>
      <c r="B273" s="361"/>
      <c r="C273" s="346" t="s">
        <v>4</v>
      </c>
      <c r="D273" s="360" t="s">
        <v>5</v>
      </c>
      <c r="E273" s="346" t="s">
        <v>0</v>
      </c>
    </row>
    <row r="274" spans="1:5" ht="13.5" thickBot="1">
      <c r="A274" s="351" t="s">
        <v>1</v>
      </c>
      <c r="B274" s="362" t="s">
        <v>2</v>
      </c>
      <c r="C274" s="351" t="s">
        <v>9</v>
      </c>
      <c r="D274" s="350" t="s">
        <v>10</v>
      </c>
      <c r="E274" s="351" t="s">
        <v>11</v>
      </c>
    </row>
    <row r="275" spans="1:5" ht="13.5" thickTop="1">
      <c r="A275" s="363">
        <v>2</v>
      </c>
      <c r="B275" s="289">
        <v>855</v>
      </c>
      <c r="C275" s="90">
        <v>0</v>
      </c>
      <c r="D275" s="289">
        <v>53</v>
      </c>
      <c r="E275" s="291">
        <v>4.056</v>
      </c>
    </row>
    <row r="276" spans="1:5" ht="12.75">
      <c r="A276" s="363">
        <v>3</v>
      </c>
      <c r="B276" s="289">
        <v>2318</v>
      </c>
      <c r="C276" s="90">
        <v>0</v>
      </c>
      <c r="D276" s="289">
        <v>53</v>
      </c>
      <c r="E276" s="291">
        <v>3.346</v>
      </c>
    </row>
    <row r="277" spans="1:5" ht="12.75">
      <c r="A277" s="363">
        <v>4</v>
      </c>
      <c r="B277" s="289">
        <v>1608</v>
      </c>
      <c r="C277" s="90">
        <v>0</v>
      </c>
      <c r="D277" s="289">
        <v>54</v>
      </c>
      <c r="E277" s="291">
        <v>3.15</v>
      </c>
    </row>
    <row r="278" spans="1:5" ht="12.75">
      <c r="A278" s="363">
        <v>6</v>
      </c>
      <c r="B278" s="289">
        <v>253</v>
      </c>
      <c r="C278" s="90">
        <v>0</v>
      </c>
      <c r="D278" s="289">
        <v>55</v>
      </c>
      <c r="E278" s="291">
        <v>3.347</v>
      </c>
    </row>
    <row r="279" spans="1:5" ht="12.75">
      <c r="A279" s="363">
        <v>7</v>
      </c>
      <c r="B279" s="289">
        <v>336</v>
      </c>
      <c r="C279" s="90">
        <v>0</v>
      </c>
      <c r="D279" s="289">
        <v>52</v>
      </c>
      <c r="E279" s="291">
        <v>3.838</v>
      </c>
    </row>
    <row r="280" spans="1:5" ht="12.75">
      <c r="A280" s="363">
        <v>9</v>
      </c>
      <c r="B280" s="289">
        <v>2422</v>
      </c>
      <c r="C280" s="90">
        <v>0</v>
      </c>
      <c r="D280" s="289">
        <v>55</v>
      </c>
      <c r="E280" s="291">
        <v>3.245</v>
      </c>
    </row>
    <row r="281" spans="1:5" ht="12.75">
      <c r="A281" s="363">
        <v>10</v>
      </c>
      <c r="B281" s="289">
        <v>2043</v>
      </c>
      <c r="C281" s="90">
        <v>0</v>
      </c>
      <c r="D281" s="289">
        <v>55</v>
      </c>
      <c r="E281" s="291">
        <v>3.152</v>
      </c>
    </row>
    <row r="282" spans="1:5" ht="12.75">
      <c r="A282" s="363">
        <v>12</v>
      </c>
      <c r="B282" s="289">
        <v>3951</v>
      </c>
      <c r="C282" s="90">
        <v>0</v>
      </c>
      <c r="D282" s="289">
        <v>53</v>
      </c>
      <c r="E282" s="291">
        <v>3.35</v>
      </c>
    </row>
    <row r="283" spans="1:5" ht="12.75">
      <c r="A283" s="363">
        <v>14</v>
      </c>
      <c r="B283" s="289">
        <v>930</v>
      </c>
      <c r="C283" s="90">
        <v>0</v>
      </c>
      <c r="D283" s="289">
        <v>52</v>
      </c>
      <c r="E283" s="291">
        <v>3.321</v>
      </c>
    </row>
    <row r="284" spans="1:5" ht="12.75">
      <c r="A284" s="363">
        <v>15</v>
      </c>
      <c r="B284" s="289">
        <v>3539</v>
      </c>
      <c r="C284" s="90">
        <v>0</v>
      </c>
      <c r="D284" s="289">
        <v>55</v>
      </c>
      <c r="E284" s="291">
        <v>4.519</v>
      </c>
    </row>
    <row r="285" spans="1:5" ht="12.75">
      <c r="A285" s="363">
        <v>23</v>
      </c>
      <c r="B285" s="289">
        <v>996</v>
      </c>
      <c r="C285" s="90">
        <v>0</v>
      </c>
      <c r="D285" s="289">
        <v>53</v>
      </c>
      <c r="E285" s="291">
        <v>4.243</v>
      </c>
    </row>
    <row r="286" spans="1:5" ht="12.75">
      <c r="A286" s="363">
        <v>25</v>
      </c>
      <c r="B286" s="289">
        <v>2375</v>
      </c>
      <c r="C286" s="90">
        <v>0</v>
      </c>
      <c r="D286" s="289">
        <v>51</v>
      </c>
      <c r="E286" s="291">
        <v>2.105</v>
      </c>
    </row>
    <row r="287" spans="1:5" ht="12.75">
      <c r="A287" s="363">
        <v>28</v>
      </c>
      <c r="B287" s="289">
        <v>2612</v>
      </c>
      <c r="C287" s="90">
        <v>0</v>
      </c>
      <c r="D287" s="289">
        <v>52</v>
      </c>
      <c r="E287" s="291">
        <v>3.242</v>
      </c>
    </row>
    <row r="288" spans="1:5" ht="12.75">
      <c r="A288" s="363">
        <v>32</v>
      </c>
      <c r="B288" s="289">
        <v>854</v>
      </c>
      <c r="C288" s="90">
        <v>0</v>
      </c>
      <c r="D288" s="289">
        <v>53</v>
      </c>
      <c r="E288" s="291">
        <v>3.057</v>
      </c>
    </row>
    <row r="289" spans="1:5" ht="12.75">
      <c r="A289" s="363">
        <v>35</v>
      </c>
      <c r="B289" s="289">
        <v>3106</v>
      </c>
      <c r="C289" s="90">
        <v>0</v>
      </c>
      <c r="D289" s="289">
        <v>56</v>
      </c>
      <c r="E289" s="291">
        <v>3.449</v>
      </c>
    </row>
    <row r="290" spans="1:5" ht="12.75">
      <c r="A290" s="363">
        <v>37</v>
      </c>
      <c r="B290" s="289">
        <v>887</v>
      </c>
      <c r="C290" s="90">
        <v>0</v>
      </c>
      <c r="D290" s="289">
        <v>55</v>
      </c>
      <c r="E290" s="291">
        <v>3.553</v>
      </c>
    </row>
    <row r="291" spans="1:5" ht="12.75">
      <c r="A291" s="363">
        <v>38</v>
      </c>
      <c r="B291" s="289">
        <v>4540</v>
      </c>
      <c r="C291" s="90">
        <v>0</v>
      </c>
      <c r="D291" s="289">
        <v>54</v>
      </c>
      <c r="E291" s="291">
        <v>4.173</v>
      </c>
    </row>
    <row r="292" spans="1:5" ht="12.75">
      <c r="A292" s="363">
        <v>39</v>
      </c>
      <c r="B292" s="289">
        <v>2810</v>
      </c>
      <c r="C292" s="90">
        <v>0</v>
      </c>
      <c r="D292" s="289">
        <v>53</v>
      </c>
      <c r="E292" s="291">
        <v>3.337</v>
      </c>
    </row>
    <row r="293" spans="1:5" ht="12.75">
      <c r="A293" s="363">
        <v>40</v>
      </c>
      <c r="B293" s="289">
        <v>3156</v>
      </c>
      <c r="C293" s="90">
        <v>0</v>
      </c>
      <c r="D293" s="289">
        <v>53</v>
      </c>
      <c r="E293" s="291">
        <v>3.747</v>
      </c>
    </row>
    <row r="294" spans="1:5" ht="12.75">
      <c r="A294" s="363">
        <v>41</v>
      </c>
      <c r="B294" s="289">
        <v>3147</v>
      </c>
      <c r="C294" s="90">
        <v>0</v>
      </c>
      <c r="D294" s="289">
        <v>52</v>
      </c>
      <c r="E294" s="291">
        <v>2.393</v>
      </c>
    </row>
    <row r="295" spans="1:5" ht="12.75">
      <c r="A295" s="363">
        <v>44</v>
      </c>
      <c r="B295" s="289">
        <v>750</v>
      </c>
      <c r="C295" s="90">
        <v>0</v>
      </c>
      <c r="D295" s="289">
        <v>53</v>
      </c>
      <c r="E295" s="291">
        <v>3.231</v>
      </c>
    </row>
    <row r="296" spans="1:5" ht="12.75">
      <c r="A296" s="363">
        <v>46</v>
      </c>
      <c r="B296" s="289">
        <v>1478</v>
      </c>
      <c r="C296" s="90">
        <v>0</v>
      </c>
      <c r="D296" s="289">
        <v>54</v>
      </c>
      <c r="E296" s="291">
        <v>3.593</v>
      </c>
    </row>
    <row r="297" spans="1:5" ht="12.75">
      <c r="A297" s="363">
        <v>49</v>
      </c>
      <c r="B297" s="289">
        <v>1830</v>
      </c>
      <c r="C297" s="90">
        <v>0</v>
      </c>
      <c r="D297" s="289">
        <v>52</v>
      </c>
      <c r="E297" s="291">
        <v>3.268</v>
      </c>
    </row>
    <row r="298" spans="1:5" ht="12.75">
      <c r="A298" s="363">
        <v>50</v>
      </c>
      <c r="B298" s="289">
        <v>3727</v>
      </c>
      <c r="C298" s="90">
        <v>0</v>
      </c>
      <c r="D298" s="289">
        <v>52</v>
      </c>
      <c r="E298" s="291">
        <v>3.753</v>
      </c>
    </row>
    <row r="299" spans="1:5" ht="12.75">
      <c r="A299" s="363">
        <v>51</v>
      </c>
      <c r="B299" s="289">
        <v>3501</v>
      </c>
      <c r="C299" s="90">
        <v>0</v>
      </c>
      <c r="D299" s="289">
        <v>53</v>
      </c>
      <c r="E299" s="291">
        <v>2.989</v>
      </c>
    </row>
    <row r="300" spans="1:5" ht="12.75">
      <c r="A300" s="363">
        <v>52</v>
      </c>
      <c r="B300" s="289">
        <v>980</v>
      </c>
      <c r="C300" s="90">
        <v>0</v>
      </c>
      <c r="D300" s="289">
        <v>52</v>
      </c>
      <c r="E300" s="291">
        <v>3.796</v>
      </c>
    </row>
    <row r="301" spans="1:5" ht="12.75">
      <c r="A301" s="363">
        <v>53</v>
      </c>
      <c r="B301" s="289">
        <v>4250</v>
      </c>
      <c r="C301" s="90">
        <v>0</v>
      </c>
      <c r="D301" s="289">
        <v>52</v>
      </c>
      <c r="E301" s="291">
        <v>2.18</v>
      </c>
    </row>
    <row r="302" spans="1:5" ht="12.75">
      <c r="A302" s="363">
        <v>54</v>
      </c>
      <c r="B302" s="289">
        <v>403</v>
      </c>
      <c r="C302" s="90">
        <v>0</v>
      </c>
      <c r="D302" s="289">
        <v>52</v>
      </c>
      <c r="E302" s="291">
        <v>4.091</v>
      </c>
    </row>
    <row r="303" spans="1:5" ht="12.75">
      <c r="A303" s="363">
        <v>55</v>
      </c>
      <c r="B303" s="289">
        <v>500</v>
      </c>
      <c r="C303" s="90">
        <v>0</v>
      </c>
      <c r="D303" s="289">
        <v>52</v>
      </c>
      <c r="E303" s="291">
        <v>3.558</v>
      </c>
    </row>
    <row r="304" spans="1:5" ht="12.75">
      <c r="A304" s="363">
        <v>57</v>
      </c>
      <c r="B304" s="289">
        <v>1881</v>
      </c>
      <c r="C304" s="90">
        <v>0</v>
      </c>
      <c r="D304" s="289">
        <v>53</v>
      </c>
      <c r="E304" s="291">
        <v>3.281</v>
      </c>
    </row>
    <row r="305" spans="1:5" ht="12.75">
      <c r="A305" s="363">
        <v>59</v>
      </c>
      <c r="B305" s="289">
        <v>4376</v>
      </c>
      <c r="C305" s="90">
        <v>0</v>
      </c>
      <c r="D305" s="289">
        <v>51</v>
      </c>
      <c r="E305" s="291">
        <v>3.504</v>
      </c>
    </row>
    <row r="306" spans="1:5" ht="12.75">
      <c r="A306" s="363">
        <v>60</v>
      </c>
      <c r="B306" s="289">
        <v>413</v>
      </c>
      <c r="C306" s="90">
        <v>0</v>
      </c>
      <c r="D306" s="289">
        <v>52</v>
      </c>
      <c r="E306" s="291">
        <v>4.362</v>
      </c>
    </row>
    <row r="307" spans="1:5" ht="12.75">
      <c r="A307" s="363">
        <v>61</v>
      </c>
      <c r="B307" s="289">
        <v>4101</v>
      </c>
      <c r="C307" s="90">
        <v>0</v>
      </c>
      <c r="D307" s="289">
        <v>52</v>
      </c>
      <c r="E307" s="291">
        <v>4.459</v>
      </c>
    </row>
    <row r="308" spans="1:5" ht="12.75">
      <c r="A308" s="363">
        <v>62</v>
      </c>
      <c r="B308" s="289">
        <v>4494</v>
      </c>
      <c r="C308" s="90">
        <v>0</v>
      </c>
      <c r="D308" s="289">
        <v>56</v>
      </c>
      <c r="E308" s="291">
        <v>3.374</v>
      </c>
    </row>
    <row r="309" spans="1:5" ht="12.75">
      <c r="A309" s="363">
        <v>63</v>
      </c>
      <c r="B309" s="289">
        <v>1536</v>
      </c>
      <c r="C309" s="90">
        <v>0</v>
      </c>
      <c r="D309" s="289">
        <v>52</v>
      </c>
      <c r="E309" s="291">
        <v>3.954</v>
      </c>
    </row>
    <row r="310" spans="1:5" ht="12.75">
      <c r="A310" s="363">
        <v>64</v>
      </c>
      <c r="B310" s="289">
        <v>3635</v>
      </c>
      <c r="C310" s="90">
        <v>0</v>
      </c>
      <c r="D310" s="289">
        <v>51</v>
      </c>
      <c r="E310" s="291">
        <v>3.572</v>
      </c>
    </row>
    <row r="311" spans="1:5" ht="12.75">
      <c r="A311" s="363">
        <v>65</v>
      </c>
      <c r="B311" s="289">
        <v>3432</v>
      </c>
      <c r="C311" s="90">
        <v>0</v>
      </c>
      <c r="D311" s="289">
        <v>55</v>
      </c>
      <c r="E311" s="291">
        <v>3.398</v>
      </c>
    </row>
    <row r="312" spans="1:5" ht="12.75">
      <c r="A312" s="363">
        <v>67</v>
      </c>
      <c r="B312" s="289">
        <v>3772</v>
      </c>
      <c r="C312" s="90">
        <v>0</v>
      </c>
      <c r="D312" s="289">
        <v>54</v>
      </c>
      <c r="E312" s="291">
        <v>3.698</v>
      </c>
    </row>
    <row r="313" spans="1:5" ht="12.75">
      <c r="A313" s="363">
        <v>68</v>
      </c>
      <c r="B313" s="289">
        <v>26</v>
      </c>
      <c r="C313" s="90">
        <v>0</v>
      </c>
      <c r="D313" s="289">
        <v>51</v>
      </c>
      <c r="E313" s="291">
        <v>2.453</v>
      </c>
    </row>
    <row r="314" spans="1:5" ht="12.75">
      <c r="A314" s="363">
        <v>70</v>
      </c>
      <c r="B314" s="289">
        <v>4353</v>
      </c>
      <c r="C314" s="90">
        <v>0</v>
      </c>
      <c r="D314" s="289">
        <v>51</v>
      </c>
      <c r="E314" s="291">
        <v>3.64</v>
      </c>
    </row>
    <row r="315" spans="1:5" ht="12.75">
      <c r="A315" s="363">
        <v>71</v>
      </c>
      <c r="B315" s="289">
        <v>4533</v>
      </c>
      <c r="C315" s="90">
        <v>0</v>
      </c>
      <c r="D315" s="289">
        <v>51</v>
      </c>
      <c r="E315" s="291">
        <v>4.044</v>
      </c>
    </row>
    <row r="316" spans="1:5" ht="12.75">
      <c r="A316" s="363">
        <v>72</v>
      </c>
      <c r="B316" s="289">
        <v>2742</v>
      </c>
      <c r="C316" s="90">
        <v>0</v>
      </c>
      <c r="D316" s="289">
        <v>51</v>
      </c>
      <c r="E316" s="291">
        <v>3.564</v>
      </c>
    </row>
    <row r="317" spans="1:5" ht="12.75">
      <c r="A317" s="363">
        <v>73</v>
      </c>
      <c r="B317" s="289">
        <v>1131</v>
      </c>
      <c r="C317" s="90">
        <v>0</v>
      </c>
      <c r="D317" s="289">
        <v>54</v>
      </c>
      <c r="E317" s="291">
        <v>3.692</v>
      </c>
    </row>
    <row r="318" spans="1:5" ht="12.75">
      <c r="A318" s="363">
        <v>74</v>
      </c>
      <c r="B318" s="289">
        <v>3003</v>
      </c>
      <c r="C318" s="90">
        <v>0</v>
      </c>
      <c r="D318" s="289">
        <v>52</v>
      </c>
      <c r="E318" s="291">
        <v>2.837</v>
      </c>
    </row>
    <row r="319" spans="1:5" ht="12.75">
      <c r="A319" s="363">
        <v>76</v>
      </c>
      <c r="B319" s="289">
        <v>949</v>
      </c>
      <c r="C319" s="90">
        <v>0</v>
      </c>
      <c r="D319" s="289">
        <v>55</v>
      </c>
      <c r="E319" s="291">
        <v>3.594</v>
      </c>
    </row>
    <row r="320" spans="1:5" ht="12.75">
      <c r="A320" s="363">
        <v>77</v>
      </c>
      <c r="B320" s="289">
        <v>61</v>
      </c>
      <c r="C320" s="90">
        <v>0</v>
      </c>
      <c r="D320" s="289">
        <v>51</v>
      </c>
      <c r="E320" s="291">
        <v>3.593</v>
      </c>
    </row>
    <row r="321" spans="1:5" ht="12.75">
      <c r="A321" s="363">
        <v>78</v>
      </c>
      <c r="B321" s="289">
        <v>3316</v>
      </c>
      <c r="C321" s="90">
        <v>0</v>
      </c>
      <c r="D321" s="289">
        <v>54</v>
      </c>
      <c r="E321" s="291">
        <v>3.869</v>
      </c>
    </row>
    <row r="322" spans="1:5" ht="12.75">
      <c r="A322" s="363">
        <v>84</v>
      </c>
      <c r="B322" s="289">
        <v>1805</v>
      </c>
      <c r="C322" s="90">
        <v>0</v>
      </c>
      <c r="D322" s="289">
        <v>51</v>
      </c>
      <c r="E322" s="291">
        <v>3.56</v>
      </c>
    </row>
    <row r="323" spans="1:5" ht="12.75">
      <c r="A323" s="363">
        <v>86</v>
      </c>
      <c r="B323" s="289">
        <v>2312</v>
      </c>
      <c r="C323" s="90">
        <v>0</v>
      </c>
      <c r="D323" s="289">
        <v>52</v>
      </c>
      <c r="E323" s="291">
        <v>3.239</v>
      </c>
    </row>
    <row r="324" spans="1:5" ht="12.75">
      <c r="A324" s="363">
        <v>87</v>
      </c>
      <c r="B324" s="289">
        <v>140</v>
      </c>
      <c r="C324" s="90">
        <v>0</v>
      </c>
      <c r="D324" s="289">
        <v>55</v>
      </c>
      <c r="E324" s="291">
        <v>3.01</v>
      </c>
    </row>
    <row r="325" spans="1:5" ht="12.75">
      <c r="A325" s="363">
        <v>88</v>
      </c>
      <c r="B325" s="289">
        <v>3779</v>
      </c>
      <c r="C325" s="90">
        <v>0</v>
      </c>
      <c r="D325" s="289">
        <v>51</v>
      </c>
      <c r="E325" s="291">
        <v>3.257</v>
      </c>
    </row>
    <row r="326" spans="1:5" ht="12.75">
      <c r="A326" s="363">
        <v>90</v>
      </c>
      <c r="B326" s="289">
        <v>2884</v>
      </c>
      <c r="C326" s="90">
        <v>0</v>
      </c>
      <c r="D326" s="289">
        <v>53</v>
      </c>
      <c r="E326" s="291">
        <v>3.219</v>
      </c>
    </row>
    <row r="327" spans="1:5" ht="12.75">
      <c r="A327" s="363">
        <v>92</v>
      </c>
      <c r="B327" s="289">
        <v>1230</v>
      </c>
      <c r="C327" s="90">
        <v>0</v>
      </c>
      <c r="D327" s="289">
        <v>52</v>
      </c>
      <c r="E327" s="291">
        <v>3.342</v>
      </c>
    </row>
    <row r="328" spans="1:5" ht="12.75">
      <c r="A328" s="363">
        <v>93</v>
      </c>
      <c r="B328" s="289">
        <v>3675</v>
      </c>
      <c r="C328" s="90">
        <v>0</v>
      </c>
      <c r="D328" s="289">
        <v>52</v>
      </c>
      <c r="E328" s="291">
        <v>2.323</v>
      </c>
    </row>
    <row r="329" spans="1:5" ht="12.75">
      <c r="A329" s="363">
        <v>99</v>
      </c>
      <c r="B329" s="289">
        <v>2060</v>
      </c>
      <c r="C329" s="90">
        <v>0</v>
      </c>
      <c r="D329" s="289">
        <v>52</v>
      </c>
      <c r="E329" s="291">
        <v>4.862</v>
      </c>
    </row>
    <row r="330" spans="1:5" ht="12.75">
      <c r="A330" s="363">
        <v>102</v>
      </c>
      <c r="B330" s="289">
        <v>4526</v>
      </c>
      <c r="C330" s="90">
        <v>0</v>
      </c>
      <c r="D330" s="289">
        <v>51</v>
      </c>
      <c r="E330" s="291">
        <v>3.182</v>
      </c>
    </row>
    <row r="331" spans="1:5" ht="12.75">
      <c r="A331" s="363">
        <v>103</v>
      </c>
      <c r="B331" s="289">
        <v>1173</v>
      </c>
      <c r="C331" s="90">
        <v>0</v>
      </c>
      <c r="D331" s="289">
        <v>53</v>
      </c>
      <c r="E331" s="291">
        <v>3.579</v>
      </c>
    </row>
    <row r="332" spans="1:5" ht="12.75">
      <c r="A332" s="363">
        <v>105</v>
      </c>
      <c r="B332" s="289">
        <v>1126</v>
      </c>
      <c r="C332" s="90">
        <v>0</v>
      </c>
      <c r="D332" s="289">
        <v>51</v>
      </c>
      <c r="E332" s="291">
        <v>2.487</v>
      </c>
    </row>
    <row r="333" spans="1:5" ht="12.75">
      <c r="A333" s="363">
        <v>108</v>
      </c>
      <c r="B333" s="289">
        <v>2026</v>
      </c>
      <c r="C333" s="90">
        <v>0</v>
      </c>
      <c r="D333" s="289">
        <v>51</v>
      </c>
      <c r="E333" s="291">
        <v>2.467</v>
      </c>
    </row>
    <row r="334" spans="1:5" ht="12.75">
      <c r="A334" s="363">
        <v>109</v>
      </c>
      <c r="B334" s="289">
        <v>285</v>
      </c>
      <c r="C334" s="90">
        <v>0</v>
      </c>
      <c r="D334" s="289">
        <v>55</v>
      </c>
      <c r="E334" s="291">
        <v>3.313</v>
      </c>
    </row>
    <row r="335" spans="1:5" ht="12.75">
      <c r="A335" s="363">
        <v>114</v>
      </c>
      <c r="B335" s="289">
        <v>259</v>
      </c>
      <c r="C335" s="90">
        <v>0</v>
      </c>
      <c r="D335" s="289">
        <v>52</v>
      </c>
      <c r="E335" s="291">
        <v>2.96</v>
      </c>
    </row>
    <row r="336" spans="1:5" ht="12.75">
      <c r="A336" s="363">
        <v>116</v>
      </c>
      <c r="B336" s="289">
        <v>478</v>
      </c>
      <c r="C336" s="90">
        <v>0</v>
      </c>
      <c r="D336" s="289">
        <v>54</v>
      </c>
      <c r="E336" s="291">
        <v>3.643</v>
      </c>
    </row>
    <row r="337" spans="1:5" ht="12.75">
      <c r="A337" s="363">
        <v>117</v>
      </c>
      <c r="B337" s="289">
        <v>4148</v>
      </c>
      <c r="C337" s="90">
        <v>0</v>
      </c>
      <c r="D337" s="289">
        <v>52</v>
      </c>
      <c r="E337" s="291">
        <v>4.719</v>
      </c>
    </row>
    <row r="338" spans="1:5" ht="12.75">
      <c r="A338" s="363">
        <v>118</v>
      </c>
      <c r="B338" s="289">
        <v>4544</v>
      </c>
      <c r="C338" s="90">
        <v>0</v>
      </c>
      <c r="D338" s="289">
        <v>53</v>
      </c>
      <c r="E338" s="291">
        <v>3.646</v>
      </c>
    </row>
    <row r="339" spans="1:5" ht="12.75">
      <c r="A339" s="363">
        <v>121</v>
      </c>
      <c r="B339" s="289">
        <v>3376</v>
      </c>
      <c r="C339" s="90">
        <v>0</v>
      </c>
      <c r="D339" s="289">
        <v>54</v>
      </c>
      <c r="E339" s="291">
        <v>3.819</v>
      </c>
    </row>
    <row r="340" spans="1:5" ht="12.75">
      <c r="A340" s="363">
        <v>122</v>
      </c>
      <c r="B340" s="289">
        <v>3031</v>
      </c>
      <c r="C340" s="90">
        <v>0</v>
      </c>
      <c r="D340" s="289">
        <v>54</v>
      </c>
      <c r="E340" s="291">
        <v>3.763</v>
      </c>
    </row>
    <row r="341" spans="1:5" ht="12.75">
      <c r="A341" s="363">
        <v>123</v>
      </c>
      <c r="B341" s="289">
        <v>15</v>
      </c>
      <c r="C341" s="90">
        <v>0</v>
      </c>
      <c r="D341" s="289">
        <v>55</v>
      </c>
      <c r="E341" s="291">
        <v>3.748</v>
      </c>
    </row>
    <row r="342" spans="1:5" ht="12.75">
      <c r="A342" s="363">
        <v>124</v>
      </c>
      <c r="B342" s="289">
        <v>2081</v>
      </c>
      <c r="C342" s="90">
        <v>0</v>
      </c>
      <c r="D342" s="289">
        <v>53</v>
      </c>
      <c r="E342" s="291">
        <v>3.17</v>
      </c>
    </row>
    <row r="343" spans="1:5" ht="12.75">
      <c r="A343" s="363">
        <v>129</v>
      </c>
      <c r="B343" s="289">
        <v>3332</v>
      </c>
      <c r="C343" s="90">
        <v>0</v>
      </c>
      <c r="D343" s="289">
        <v>55</v>
      </c>
      <c r="E343" s="291">
        <v>3.472</v>
      </c>
    </row>
    <row r="344" spans="1:5" ht="12.75">
      <c r="A344" s="363">
        <v>130</v>
      </c>
      <c r="B344" s="289">
        <v>2935</v>
      </c>
      <c r="C344" s="90">
        <v>0</v>
      </c>
      <c r="D344" s="289">
        <v>55</v>
      </c>
      <c r="E344" s="291">
        <v>4.434</v>
      </c>
    </row>
    <row r="345" spans="1:5" ht="12.75">
      <c r="A345" s="363">
        <v>132</v>
      </c>
      <c r="B345" s="289">
        <v>3972</v>
      </c>
      <c r="C345" s="90">
        <v>0</v>
      </c>
      <c r="D345" s="289">
        <v>54</v>
      </c>
      <c r="E345" s="291">
        <v>3.713</v>
      </c>
    </row>
    <row r="346" spans="1:5" ht="12.75">
      <c r="A346" s="363">
        <v>133</v>
      </c>
      <c r="B346" s="289">
        <v>455</v>
      </c>
      <c r="C346" s="90">
        <v>0</v>
      </c>
      <c r="D346" s="289">
        <v>53</v>
      </c>
      <c r="E346" s="291">
        <v>4.038</v>
      </c>
    </row>
    <row r="347" spans="1:5" ht="12.75">
      <c r="A347" s="363">
        <v>139</v>
      </c>
      <c r="B347" s="289">
        <v>771</v>
      </c>
      <c r="C347" s="90">
        <v>0</v>
      </c>
      <c r="D347" s="289">
        <v>54</v>
      </c>
      <c r="E347" s="291">
        <v>2.953</v>
      </c>
    </row>
    <row r="348" spans="1:5" ht="12.75">
      <c r="A348" s="363">
        <v>143</v>
      </c>
      <c r="B348" s="289">
        <v>2545</v>
      </c>
      <c r="C348" s="90">
        <v>0</v>
      </c>
      <c r="D348" s="289">
        <v>51</v>
      </c>
      <c r="E348" s="291">
        <v>4.049</v>
      </c>
    </row>
    <row r="349" spans="1:5" ht="12.75">
      <c r="A349" s="363">
        <v>144</v>
      </c>
      <c r="B349" s="289">
        <v>1104</v>
      </c>
      <c r="C349" s="90">
        <v>0</v>
      </c>
      <c r="D349" s="289">
        <v>53</v>
      </c>
      <c r="E349" s="291">
        <v>3.83</v>
      </c>
    </row>
    <row r="350" spans="1:5" ht="12.75">
      <c r="A350" s="363">
        <v>145</v>
      </c>
      <c r="B350" s="289">
        <v>4450</v>
      </c>
      <c r="C350" s="90">
        <v>0</v>
      </c>
      <c r="D350" s="289">
        <v>52</v>
      </c>
      <c r="E350" s="291">
        <v>2.085</v>
      </c>
    </row>
    <row r="351" spans="1:5" ht="12.75">
      <c r="A351" s="363">
        <v>147</v>
      </c>
      <c r="B351" s="289">
        <v>837</v>
      </c>
      <c r="C351" s="90">
        <v>0</v>
      </c>
      <c r="D351" s="289">
        <v>53</v>
      </c>
      <c r="E351" s="291">
        <v>3.095</v>
      </c>
    </row>
    <row r="352" spans="1:5" ht="12.75">
      <c r="A352" s="363">
        <v>148</v>
      </c>
      <c r="B352" s="289">
        <v>941</v>
      </c>
      <c r="C352" s="90">
        <v>0</v>
      </c>
      <c r="D352" s="289">
        <v>52</v>
      </c>
      <c r="E352" s="291">
        <v>2.976</v>
      </c>
    </row>
    <row r="353" spans="1:5" ht="12.75">
      <c r="A353" s="363">
        <v>150</v>
      </c>
      <c r="B353" s="289">
        <v>233</v>
      </c>
      <c r="C353" s="90">
        <v>0</v>
      </c>
      <c r="D353" s="289">
        <v>55</v>
      </c>
      <c r="E353" s="291">
        <v>3.531</v>
      </c>
    </row>
    <row r="354" spans="1:5" ht="12.75">
      <c r="A354" s="363">
        <v>152</v>
      </c>
      <c r="B354" s="289">
        <v>4320</v>
      </c>
      <c r="C354" s="90">
        <v>0</v>
      </c>
      <c r="D354" s="289">
        <v>52</v>
      </c>
      <c r="E354" s="291">
        <v>3.507</v>
      </c>
    </row>
    <row r="355" spans="1:5" ht="12.75">
      <c r="A355" s="363">
        <v>154</v>
      </c>
      <c r="B355" s="289">
        <v>3079</v>
      </c>
      <c r="C355" s="90">
        <v>0</v>
      </c>
      <c r="D355" s="289">
        <v>53</v>
      </c>
      <c r="E355" s="291">
        <v>3.527</v>
      </c>
    </row>
    <row r="356" spans="1:5" ht="12.75">
      <c r="A356" s="363">
        <v>155</v>
      </c>
      <c r="B356" s="289">
        <v>3654</v>
      </c>
      <c r="C356" s="90">
        <v>0</v>
      </c>
      <c r="D356" s="289">
        <v>55</v>
      </c>
      <c r="E356" s="291">
        <v>3.8</v>
      </c>
    </row>
    <row r="357" spans="1:5" ht="12.75">
      <c r="A357" s="363">
        <v>157</v>
      </c>
      <c r="B357" s="289">
        <v>3564</v>
      </c>
      <c r="C357" s="90">
        <v>0</v>
      </c>
      <c r="D357" s="289">
        <v>54</v>
      </c>
      <c r="E357" s="291">
        <v>3.39</v>
      </c>
    </row>
    <row r="358" spans="1:5" ht="12.75">
      <c r="A358" s="363">
        <v>158</v>
      </c>
      <c r="B358" s="289">
        <v>670</v>
      </c>
      <c r="C358" s="90">
        <v>0</v>
      </c>
      <c r="D358" s="289">
        <v>52</v>
      </c>
      <c r="E358" s="291">
        <v>2.878</v>
      </c>
    </row>
    <row r="359" spans="1:5" ht="12.75">
      <c r="A359" s="363">
        <v>161</v>
      </c>
      <c r="B359" s="289">
        <v>1850</v>
      </c>
      <c r="C359" s="90">
        <v>0</v>
      </c>
      <c r="D359" s="289">
        <v>53</v>
      </c>
      <c r="E359" s="291">
        <v>3.416</v>
      </c>
    </row>
    <row r="360" spans="1:5" ht="12.75">
      <c r="A360" s="363">
        <v>162</v>
      </c>
      <c r="B360" s="289">
        <v>589</v>
      </c>
      <c r="C360" s="90">
        <v>0</v>
      </c>
      <c r="D360" s="289">
        <v>52</v>
      </c>
      <c r="E360" s="291">
        <v>2.218</v>
      </c>
    </row>
    <row r="361" spans="1:5" ht="12.75">
      <c r="A361" s="363">
        <v>163</v>
      </c>
      <c r="B361" s="289">
        <v>2219</v>
      </c>
      <c r="C361" s="90">
        <v>0</v>
      </c>
      <c r="D361" s="289">
        <v>53</v>
      </c>
      <c r="E361" s="291">
        <v>3.419</v>
      </c>
    </row>
    <row r="362" spans="1:5" ht="12.75">
      <c r="A362" s="363">
        <v>168</v>
      </c>
      <c r="B362" s="289">
        <v>4082</v>
      </c>
      <c r="C362" s="90">
        <v>0</v>
      </c>
      <c r="D362" s="289">
        <v>52</v>
      </c>
      <c r="E362" s="291">
        <v>3.366</v>
      </c>
    </row>
    <row r="363" spans="1:5" ht="12.75">
      <c r="A363" s="363">
        <v>169</v>
      </c>
      <c r="B363" s="289">
        <v>2017</v>
      </c>
      <c r="C363" s="90">
        <v>0</v>
      </c>
      <c r="D363" s="289">
        <v>54</v>
      </c>
      <c r="E363" s="291">
        <v>3.368</v>
      </c>
    </row>
    <row r="364" spans="1:5" ht="12.75">
      <c r="A364" s="363">
        <v>173</v>
      </c>
      <c r="B364" s="289">
        <v>159</v>
      </c>
      <c r="C364" s="90">
        <v>0</v>
      </c>
      <c r="D364" s="289">
        <v>52</v>
      </c>
      <c r="E364" s="291">
        <v>3.088</v>
      </c>
    </row>
    <row r="365" spans="1:5" ht="12.75">
      <c r="A365" s="363">
        <v>174</v>
      </c>
      <c r="B365" s="289">
        <v>4545</v>
      </c>
      <c r="C365" s="90">
        <v>0</v>
      </c>
      <c r="D365" s="289">
        <v>51</v>
      </c>
      <c r="E365" s="291">
        <v>2.893</v>
      </c>
    </row>
    <row r="366" spans="1:5" ht="12.75">
      <c r="A366" s="363">
        <v>176</v>
      </c>
      <c r="B366" s="289">
        <v>2641</v>
      </c>
      <c r="C366" s="90">
        <v>0</v>
      </c>
      <c r="D366" s="289">
        <v>52</v>
      </c>
      <c r="E366" s="291">
        <v>3.026</v>
      </c>
    </row>
    <row r="367" spans="1:5" ht="12.75">
      <c r="A367" s="363">
        <v>182</v>
      </c>
      <c r="B367" s="289">
        <v>978</v>
      </c>
      <c r="C367" s="90">
        <v>0</v>
      </c>
      <c r="D367" s="289">
        <v>54</v>
      </c>
      <c r="E367" s="291">
        <v>3.632</v>
      </c>
    </row>
    <row r="368" spans="1:5" ht="12.75">
      <c r="A368" s="363">
        <v>183</v>
      </c>
      <c r="B368" s="289">
        <v>4212</v>
      </c>
      <c r="C368" s="90">
        <v>0</v>
      </c>
      <c r="D368" s="289">
        <v>54</v>
      </c>
      <c r="E368" s="291">
        <v>3.047</v>
      </c>
    </row>
    <row r="369" spans="1:5" ht="12.75">
      <c r="A369" s="363">
        <v>184</v>
      </c>
      <c r="B369" s="289">
        <v>999</v>
      </c>
      <c r="C369" s="90">
        <v>0</v>
      </c>
      <c r="D369" s="289">
        <v>55</v>
      </c>
      <c r="E369" s="291">
        <v>3.875</v>
      </c>
    </row>
    <row r="370" spans="1:5" ht="12.75">
      <c r="A370" s="363">
        <v>185</v>
      </c>
      <c r="B370" s="289">
        <v>1018</v>
      </c>
      <c r="C370" s="90">
        <v>0</v>
      </c>
      <c r="D370" s="289">
        <v>53</v>
      </c>
      <c r="E370" s="291">
        <v>3.334</v>
      </c>
    </row>
    <row r="371" spans="1:5" ht="12.75">
      <c r="A371" s="363">
        <v>186</v>
      </c>
      <c r="B371" s="289">
        <v>4420</v>
      </c>
      <c r="C371" s="90">
        <v>0</v>
      </c>
      <c r="D371" s="289">
        <v>52</v>
      </c>
      <c r="E371" s="291">
        <v>3.359</v>
      </c>
    </row>
    <row r="372" spans="1:5" ht="12.75">
      <c r="A372" s="363">
        <v>187</v>
      </c>
      <c r="B372" s="289">
        <v>2622</v>
      </c>
      <c r="C372" s="90">
        <v>0</v>
      </c>
      <c r="D372" s="289">
        <v>55</v>
      </c>
      <c r="E372" s="291">
        <v>3.356</v>
      </c>
    </row>
    <row r="373" spans="1:5" ht="12.75">
      <c r="A373" s="363">
        <v>188</v>
      </c>
      <c r="B373" s="289">
        <v>486</v>
      </c>
      <c r="C373" s="90">
        <v>0</v>
      </c>
      <c r="D373" s="289">
        <v>55</v>
      </c>
      <c r="E373" s="291">
        <v>3.836</v>
      </c>
    </row>
    <row r="374" spans="1:5" ht="12.75">
      <c r="A374" s="363">
        <v>190</v>
      </c>
      <c r="B374" s="289">
        <v>1420</v>
      </c>
      <c r="C374" s="90">
        <v>0</v>
      </c>
      <c r="D374" s="289">
        <v>55</v>
      </c>
      <c r="E374" s="291">
        <v>2.905</v>
      </c>
    </row>
    <row r="375" spans="1:5" ht="12.75">
      <c r="A375" s="363">
        <v>191</v>
      </c>
      <c r="B375" s="289">
        <v>4025</v>
      </c>
      <c r="C375" s="90">
        <v>0</v>
      </c>
      <c r="D375" s="289">
        <v>53</v>
      </c>
      <c r="E375" s="291">
        <v>3.192</v>
      </c>
    </row>
    <row r="376" spans="1:5" ht="12.75">
      <c r="A376" s="363">
        <v>195</v>
      </c>
      <c r="B376" s="289">
        <v>201</v>
      </c>
      <c r="C376" s="90">
        <v>0</v>
      </c>
      <c r="D376" s="289">
        <v>52</v>
      </c>
      <c r="E376" s="291">
        <v>3.764</v>
      </c>
    </row>
    <row r="377" spans="1:5" ht="12.75">
      <c r="A377" s="363">
        <v>196</v>
      </c>
      <c r="B377" s="289">
        <v>1991</v>
      </c>
      <c r="C377" s="90">
        <v>0</v>
      </c>
      <c r="D377" s="289">
        <v>53</v>
      </c>
      <c r="E377" s="291">
        <v>3.309</v>
      </c>
    </row>
    <row r="378" spans="1:5" ht="12.75">
      <c r="A378" s="363">
        <v>198</v>
      </c>
      <c r="B378" s="289">
        <v>3215</v>
      </c>
      <c r="C378" s="90">
        <v>0</v>
      </c>
      <c r="D378" s="289">
        <v>53</v>
      </c>
      <c r="E378" s="291">
        <v>3.152</v>
      </c>
    </row>
    <row r="379" spans="1:5" ht="12.75">
      <c r="A379" s="363">
        <v>200</v>
      </c>
      <c r="B379" s="289">
        <v>877</v>
      </c>
      <c r="C379" s="90">
        <v>0</v>
      </c>
      <c r="D379" s="289">
        <v>52</v>
      </c>
      <c r="E379" s="291">
        <v>3.959</v>
      </c>
    </row>
    <row r="380" spans="1:5" ht="12.75">
      <c r="A380" s="363">
        <v>205</v>
      </c>
      <c r="B380" s="289">
        <v>2045</v>
      </c>
      <c r="C380" s="90">
        <v>0</v>
      </c>
      <c r="D380" s="289">
        <v>51</v>
      </c>
      <c r="E380" s="291">
        <v>3.977</v>
      </c>
    </row>
    <row r="381" spans="1:5" ht="12.75">
      <c r="A381" s="363">
        <v>207</v>
      </c>
      <c r="B381" s="289">
        <v>1564</v>
      </c>
      <c r="C381" s="90">
        <v>0</v>
      </c>
      <c r="D381" s="289">
        <v>54</v>
      </c>
      <c r="E381" s="291">
        <v>3.973</v>
      </c>
    </row>
    <row r="382" spans="1:5" ht="12.75">
      <c r="A382" s="363">
        <v>208</v>
      </c>
      <c r="B382" s="289">
        <v>2567</v>
      </c>
      <c r="C382" s="90">
        <v>0</v>
      </c>
      <c r="D382" s="289">
        <v>51</v>
      </c>
      <c r="E382" s="291">
        <v>3.539</v>
      </c>
    </row>
    <row r="383" spans="1:5" ht="12.75">
      <c r="A383" s="363">
        <v>210</v>
      </c>
      <c r="B383" s="289">
        <v>4568</v>
      </c>
      <c r="C383" s="90">
        <v>0</v>
      </c>
      <c r="D383" s="289">
        <v>52</v>
      </c>
      <c r="E383" s="291">
        <v>3.862</v>
      </c>
    </row>
    <row r="384" spans="1:5" ht="12.75">
      <c r="A384" s="363">
        <v>215</v>
      </c>
      <c r="B384" s="289">
        <v>3740</v>
      </c>
      <c r="C384" s="90">
        <v>0</v>
      </c>
      <c r="D384" s="289">
        <v>54</v>
      </c>
      <c r="E384" s="291">
        <v>3.47</v>
      </c>
    </row>
    <row r="385" spans="1:5" ht="12.75">
      <c r="A385" s="363">
        <v>221</v>
      </c>
      <c r="B385" s="289">
        <v>3995</v>
      </c>
      <c r="C385" s="90">
        <v>0</v>
      </c>
      <c r="D385" s="289">
        <v>53</v>
      </c>
      <c r="E385" s="291">
        <v>3.008</v>
      </c>
    </row>
    <row r="386" spans="1:5" ht="12.75">
      <c r="A386" s="363">
        <v>222</v>
      </c>
      <c r="B386" s="289">
        <v>1788</v>
      </c>
      <c r="C386" s="90">
        <v>0</v>
      </c>
      <c r="D386" s="289">
        <v>51</v>
      </c>
      <c r="E386" s="291">
        <v>3.554</v>
      </c>
    </row>
    <row r="387" spans="1:5" ht="12.75">
      <c r="A387" s="363">
        <v>225</v>
      </c>
      <c r="B387" s="289">
        <v>493</v>
      </c>
      <c r="C387" s="90">
        <v>0</v>
      </c>
      <c r="D387" s="289">
        <v>54</v>
      </c>
      <c r="E387" s="291">
        <v>3.431</v>
      </c>
    </row>
    <row r="388" spans="1:5" ht="12.75">
      <c r="A388" s="363">
        <v>227</v>
      </c>
      <c r="B388" s="289">
        <v>152</v>
      </c>
      <c r="C388" s="90">
        <v>0</v>
      </c>
      <c r="D388" s="289">
        <v>54</v>
      </c>
      <c r="E388" s="291">
        <v>4.269</v>
      </c>
    </row>
    <row r="389" spans="1:5" ht="12.75">
      <c r="A389" s="363">
        <v>229</v>
      </c>
      <c r="B389" s="289">
        <v>4534</v>
      </c>
      <c r="C389" s="90">
        <v>0</v>
      </c>
      <c r="D389" s="289">
        <v>52</v>
      </c>
      <c r="E389" s="291">
        <v>4.809</v>
      </c>
    </row>
    <row r="390" spans="1:5" ht="12.75">
      <c r="A390" s="363">
        <v>230</v>
      </c>
      <c r="B390" s="289">
        <v>2848</v>
      </c>
      <c r="C390" s="90">
        <v>0</v>
      </c>
      <c r="D390" s="289">
        <v>51</v>
      </c>
      <c r="E390" s="291">
        <v>3.335</v>
      </c>
    </row>
    <row r="391" spans="1:5" ht="12.75">
      <c r="A391" s="363">
        <v>233</v>
      </c>
      <c r="B391" s="289">
        <v>1468</v>
      </c>
      <c r="C391" s="90">
        <v>0</v>
      </c>
      <c r="D391" s="289">
        <v>53</v>
      </c>
      <c r="E391" s="291">
        <v>3.193</v>
      </c>
    </row>
    <row r="392" spans="1:5" ht="12.75">
      <c r="A392" s="363">
        <v>235</v>
      </c>
      <c r="B392" s="289">
        <v>4145</v>
      </c>
      <c r="C392" s="90">
        <v>0</v>
      </c>
      <c r="D392" s="289">
        <v>51</v>
      </c>
      <c r="E392" s="291">
        <v>2.813</v>
      </c>
    </row>
    <row r="393" spans="1:5" ht="12.75">
      <c r="A393" s="363">
        <v>241</v>
      </c>
      <c r="B393" s="289">
        <v>4196</v>
      </c>
      <c r="C393" s="90">
        <v>0</v>
      </c>
      <c r="D393" s="289">
        <v>54</v>
      </c>
      <c r="E393" s="291">
        <v>3.007</v>
      </c>
    </row>
    <row r="394" spans="1:5" ht="12.75">
      <c r="A394" s="363">
        <v>244</v>
      </c>
      <c r="B394" s="289">
        <v>1090</v>
      </c>
      <c r="C394" s="90">
        <v>0</v>
      </c>
      <c r="D394" s="289">
        <v>52</v>
      </c>
      <c r="E394" s="291">
        <v>4.143</v>
      </c>
    </row>
    <row r="395" spans="1:5" ht="12.75">
      <c r="A395" s="363">
        <v>245</v>
      </c>
      <c r="B395" s="289">
        <v>3111</v>
      </c>
      <c r="C395" s="90">
        <v>0</v>
      </c>
      <c r="D395" s="289">
        <v>51</v>
      </c>
      <c r="E395" s="291">
        <v>3.344</v>
      </c>
    </row>
    <row r="396" spans="1:5" ht="12.75">
      <c r="A396" s="363">
        <v>251</v>
      </c>
      <c r="B396" s="289">
        <v>731</v>
      </c>
      <c r="C396" s="90">
        <v>0</v>
      </c>
      <c r="D396" s="289">
        <v>54</v>
      </c>
      <c r="E396" s="291">
        <v>3.701</v>
      </c>
    </row>
    <row r="397" spans="1:5" ht="12.75">
      <c r="A397" s="363">
        <v>253</v>
      </c>
      <c r="B397" s="289">
        <v>3963</v>
      </c>
      <c r="C397" s="90">
        <v>0</v>
      </c>
      <c r="D397" s="289">
        <v>55</v>
      </c>
      <c r="E397" s="291">
        <v>3.222</v>
      </c>
    </row>
    <row r="398" spans="1:5" ht="12.75">
      <c r="A398" s="363">
        <v>254</v>
      </c>
      <c r="B398" s="289">
        <v>3775</v>
      </c>
      <c r="C398" s="90">
        <v>0</v>
      </c>
      <c r="D398" s="289">
        <v>53</v>
      </c>
      <c r="E398" s="291">
        <v>3.775</v>
      </c>
    </row>
    <row r="399" spans="1:5" ht="12.75">
      <c r="A399" s="363">
        <v>258</v>
      </c>
      <c r="B399" s="289">
        <v>3433</v>
      </c>
      <c r="C399" s="90">
        <v>0</v>
      </c>
      <c r="D399" s="289">
        <v>55</v>
      </c>
      <c r="E399" s="291">
        <v>3.676</v>
      </c>
    </row>
    <row r="400" spans="1:5" ht="12.75">
      <c r="A400" s="363">
        <v>259</v>
      </c>
      <c r="B400" s="289">
        <v>2321</v>
      </c>
      <c r="C400" s="90">
        <v>0</v>
      </c>
      <c r="D400" s="289">
        <v>55</v>
      </c>
      <c r="E400" s="291">
        <v>4.565</v>
      </c>
    </row>
    <row r="401" spans="1:5" ht="12.75">
      <c r="A401" s="363">
        <v>261</v>
      </c>
      <c r="B401" s="289">
        <v>1293</v>
      </c>
      <c r="C401" s="90">
        <v>0</v>
      </c>
      <c r="D401" s="289">
        <v>54</v>
      </c>
      <c r="E401" s="291">
        <v>3.37</v>
      </c>
    </row>
    <row r="402" spans="1:5" ht="12.75">
      <c r="A402" s="363">
        <v>263</v>
      </c>
      <c r="B402" s="289">
        <v>1774</v>
      </c>
      <c r="C402" s="90">
        <v>0</v>
      </c>
      <c r="D402" s="289">
        <v>54</v>
      </c>
      <c r="E402" s="291">
        <v>3.548</v>
      </c>
    </row>
    <row r="403" spans="1:5" ht="12.75">
      <c r="A403" s="363">
        <v>264</v>
      </c>
      <c r="B403" s="289">
        <v>4218</v>
      </c>
      <c r="C403" s="90">
        <v>0</v>
      </c>
      <c r="D403" s="289">
        <v>52</v>
      </c>
      <c r="E403" s="291">
        <v>3.344</v>
      </c>
    </row>
    <row r="404" spans="1:5" ht="12.75">
      <c r="A404" s="363">
        <v>265</v>
      </c>
      <c r="B404" s="289">
        <v>2570</v>
      </c>
      <c r="C404" s="90">
        <v>0</v>
      </c>
      <c r="D404" s="289">
        <v>52</v>
      </c>
      <c r="E404" s="291">
        <v>2.748</v>
      </c>
    </row>
    <row r="405" spans="1:5" ht="12.75">
      <c r="A405" s="364">
        <v>1</v>
      </c>
      <c r="B405" s="253">
        <v>3231</v>
      </c>
      <c r="C405" s="91">
        <v>1</v>
      </c>
      <c r="D405" s="253">
        <v>52</v>
      </c>
      <c r="E405" s="292">
        <v>3.199</v>
      </c>
    </row>
    <row r="406" spans="1:5" ht="12.75">
      <c r="A406" s="364">
        <v>5</v>
      </c>
      <c r="B406" s="253">
        <v>4572</v>
      </c>
      <c r="C406" s="91">
        <v>1</v>
      </c>
      <c r="D406" s="253">
        <v>54</v>
      </c>
      <c r="E406" s="292">
        <v>3.098</v>
      </c>
    </row>
    <row r="407" spans="1:5" ht="12.75">
      <c r="A407" s="364">
        <v>8</v>
      </c>
      <c r="B407" s="253">
        <v>237</v>
      </c>
      <c r="C407" s="91">
        <v>1</v>
      </c>
      <c r="D407" s="253">
        <v>52</v>
      </c>
      <c r="E407" s="292">
        <v>3.156</v>
      </c>
    </row>
    <row r="408" spans="1:5" ht="12.75">
      <c r="A408" s="364">
        <v>11</v>
      </c>
      <c r="B408" s="253">
        <v>1390</v>
      </c>
      <c r="C408" s="91">
        <v>1</v>
      </c>
      <c r="D408" s="253">
        <v>53</v>
      </c>
      <c r="E408" s="292">
        <v>3.999</v>
      </c>
    </row>
    <row r="409" spans="1:5" ht="12.75">
      <c r="A409" s="364">
        <v>13</v>
      </c>
      <c r="B409" s="253">
        <v>3710</v>
      </c>
      <c r="C409" s="91">
        <v>1</v>
      </c>
      <c r="D409" s="253">
        <v>52</v>
      </c>
      <c r="E409" s="292">
        <v>3.586</v>
      </c>
    </row>
    <row r="410" spans="1:5" ht="12.75">
      <c r="A410" s="364">
        <v>16</v>
      </c>
      <c r="B410" s="253">
        <v>1828</v>
      </c>
      <c r="C410" s="91">
        <v>1</v>
      </c>
      <c r="D410" s="253">
        <v>53</v>
      </c>
      <c r="E410" s="292">
        <v>2.348</v>
      </c>
    </row>
    <row r="411" spans="1:5" ht="12.75">
      <c r="A411" s="364">
        <v>17</v>
      </c>
      <c r="B411" s="253">
        <v>544</v>
      </c>
      <c r="C411" s="91">
        <v>1</v>
      </c>
      <c r="D411" s="253">
        <v>56</v>
      </c>
      <c r="E411" s="292">
        <v>3.36</v>
      </c>
    </row>
    <row r="412" spans="1:5" ht="12.75">
      <c r="A412" s="364">
        <v>18</v>
      </c>
      <c r="B412" s="253">
        <v>3626</v>
      </c>
      <c r="C412" s="91">
        <v>1</v>
      </c>
      <c r="D412" s="253">
        <v>54</v>
      </c>
      <c r="E412" s="292">
        <v>3.394</v>
      </c>
    </row>
    <row r="413" spans="1:5" ht="12.75">
      <c r="A413" s="364">
        <v>19</v>
      </c>
      <c r="B413" s="253">
        <v>3381</v>
      </c>
      <c r="C413" s="91">
        <v>1</v>
      </c>
      <c r="D413" s="253">
        <v>54</v>
      </c>
      <c r="E413" s="292">
        <v>3.779</v>
      </c>
    </row>
    <row r="414" spans="1:5" ht="12.75">
      <c r="A414" s="364">
        <v>20</v>
      </c>
      <c r="B414" s="253">
        <v>1207</v>
      </c>
      <c r="C414" s="91">
        <v>1</v>
      </c>
      <c r="D414" s="253">
        <v>54</v>
      </c>
      <c r="E414" s="292">
        <v>3.751</v>
      </c>
    </row>
    <row r="415" spans="1:5" ht="12.75">
      <c r="A415" s="364">
        <v>21</v>
      </c>
      <c r="B415" s="253">
        <v>4584</v>
      </c>
      <c r="C415" s="91">
        <v>1</v>
      </c>
      <c r="D415" s="253">
        <v>52</v>
      </c>
      <c r="E415" s="292">
        <v>4.313</v>
      </c>
    </row>
    <row r="416" spans="1:5" ht="12.75">
      <c r="A416" s="364">
        <v>22</v>
      </c>
      <c r="B416" s="253">
        <v>1428</v>
      </c>
      <c r="C416" s="91">
        <v>1</v>
      </c>
      <c r="D416" s="253">
        <v>53</v>
      </c>
      <c r="E416" s="292">
        <v>2.399</v>
      </c>
    </row>
    <row r="417" spans="1:5" ht="12.75">
      <c r="A417" s="364">
        <v>24</v>
      </c>
      <c r="B417" s="253">
        <v>212</v>
      </c>
      <c r="C417" s="91">
        <v>1</v>
      </c>
      <c r="D417" s="253">
        <v>51</v>
      </c>
      <c r="E417" s="292">
        <v>3.301</v>
      </c>
    </row>
    <row r="418" spans="1:5" ht="12.75">
      <c r="A418" s="364">
        <v>26</v>
      </c>
      <c r="B418" s="253">
        <v>1485</v>
      </c>
      <c r="C418" s="91">
        <v>1</v>
      </c>
      <c r="D418" s="253">
        <v>54</v>
      </c>
      <c r="E418" s="292">
        <v>3.464</v>
      </c>
    </row>
    <row r="419" spans="1:5" ht="12.75">
      <c r="A419" s="364">
        <v>27</v>
      </c>
      <c r="B419" s="253">
        <v>853</v>
      </c>
      <c r="C419" s="91">
        <v>1</v>
      </c>
      <c r="D419" s="253">
        <v>56</v>
      </c>
      <c r="E419" s="292">
        <v>3.341</v>
      </c>
    </row>
    <row r="420" spans="1:5" ht="12.75">
      <c r="A420" s="364">
        <v>29</v>
      </c>
      <c r="B420" s="253">
        <v>3959</v>
      </c>
      <c r="C420" s="91">
        <v>1</v>
      </c>
      <c r="D420" s="253">
        <v>54</v>
      </c>
      <c r="E420" s="292">
        <v>3.216</v>
      </c>
    </row>
    <row r="421" spans="1:5" ht="12.75">
      <c r="A421" s="364">
        <v>30</v>
      </c>
      <c r="B421" s="253">
        <v>1808</v>
      </c>
      <c r="C421" s="91">
        <v>1</v>
      </c>
      <c r="D421" s="253">
        <v>53</v>
      </c>
      <c r="E421" s="292">
        <v>3.127</v>
      </c>
    </row>
    <row r="422" spans="1:5" ht="12.75">
      <c r="A422" s="364">
        <v>31</v>
      </c>
      <c r="B422" s="253">
        <v>3776</v>
      </c>
      <c r="C422" s="91">
        <v>1</v>
      </c>
      <c r="D422" s="253">
        <v>56</v>
      </c>
      <c r="E422" s="292">
        <v>4.469</v>
      </c>
    </row>
    <row r="423" spans="1:5" ht="12.75">
      <c r="A423" s="364">
        <v>33</v>
      </c>
      <c r="B423" s="253">
        <v>3950</v>
      </c>
      <c r="C423" s="91">
        <v>1</v>
      </c>
      <c r="D423" s="253">
        <v>55</v>
      </c>
      <c r="E423" s="292">
        <v>3.524</v>
      </c>
    </row>
    <row r="424" spans="1:5" ht="12.75">
      <c r="A424" s="364">
        <v>34</v>
      </c>
      <c r="B424" s="253">
        <v>3476</v>
      </c>
      <c r="C424" s="91">
        <v>1</v>
      </c>
      <c r="D424" s="253">
        <v>55</v>
      </c>
      <c r="E424" s="292">
        <v>3.65</v>
      </c>
    </row>
    <row r="425" spans="1:5" ht="12.75">
      <c r="A425" s="364">
        <v>36</v>
      </c>
      <c r="B425" s="253">
        <v>2462</v>
      </c>
      <c r="C425" s="91">
        <v>1</v>
      </c>
      <c r="D425" s="253">
        <v>53</v>
      </c>
      <c r="E425" s="292">
        <v>2.097</v>
      </c>
    </row>
    <row r="426" spans="1:5" ht="12.75">
      <c r="A426" s="364">
        <v>42</v>
      </c>
      <c r="B426" s="253">
        <v>3632</v>
      </c>
      <c r="C426" s="91">
        <v>1</v>
      </c>
      <c r="D426" s="253">
        <v>54</v>
      </c>
      <c r="E426" s="292">
        <v>3.468</v>
      </c>
    </row>
    <row r="427" spans="1:5" ht="12.75">
      <c r="A427" s="364">
        <v>43</v>
      </c>
      <c r="B427" s="253">
        <v>2278</v>
      </c>
      <c r="C427" s="91">
        <v>1</v>
      </c>
      <c r="D427" s="253">
        <v>55</v>
      </c>
      <c r="E427" s="292">
        <v>3.654</v>
      </c>
    </row>
    <row r="428" spans="1:5" ht="12.75">
      <c r="A428" s="364">
        <v>45</v>
      </c>
      <c r="B428" s="253">
        <v>3149</v>
      </c>
      <c r="C428" s="91">
        <v>1</v>
      </c>
      <c r="D428" s="253">
        <v>54</v>
      </c>
      <c r="E428" s="292">
        <v>3.541</v>
      </c>
    </row>
    <row r="429" spans="1:5" ht="12.75">
      <c r="A429" s="364">
        <v>47</v>
      </c>
      <c r="B429" s="253">
        <v>3849</v>
      </c>
      <c r="C429" s="91">
        <v>1</v>
      </c>
      <c r="D429" s="253">
        <v>55</v>
      </c>
      <c r="E429" s="292">
        <v>3.001</v>
      </c>
    </row>
    <row r="430" spans="1:5" ht="12.75">
      <c r="A430" s="364">
        <v>48</v>
      </c>
      <c r="B430" s="253">
        <v>1169</v>
      </c>
      <c r="C430" s="91">
        <v>1</v>
      </c>
      <c r="D430" s="253">
        <v>55</v>
      </c>
      <c r="E430" s="292">
        <v>3.841</v>
      </c>
    </row>
    <row r="431" spans="1:5" ht="12.75">
      <c r="A431" s="364">
        <v>56</v>
      </c>
      <c r="B431" s="253">
        <v>3049</v>
      </c>
      <c r="C431" s="91">
        <v>1</v>
      </c>
      <c r="D431" s="253">
        <v>54</v>
      </c>
      <c r="E431" s="292">
        <v>3.592</v>
      </c>
    </row>
    <row r="432" spans="1:5" ht="12.75">
      <c r="A432" s="364">
        <v>58</v>
      </c>
      <c r="B432" s="253">
        <v>3975</v>
      </c>
      <c r="C432" s="91">
        <v>1</v>
      </c>
      <c r="D432" s="253">
        <v>52</v>
      </c>
      <c r="E432" s="292">
        <v>3.876</v>
      </c>
    </row>
    <row r="433" spans="1:5" ht="12.75">
      <c r="A433" s="364">
        <v>66</v>
      </c>
      <c r="B433" s="253">
        <v>4300</v>
      </c>
      <c r="C433" s="91">
        <v>1</v>
      </c>
      <c r="D433" s="253">
        <v>53</v>
      </c>
      <c r="E433" s="292">
        <v>3.203</v>
      </c>
    </row>
    <row r="434" spans="1:5" ht="12.75">
      <c r="A434" s="364">
        <v>69</v>
      </c>
      <c r="B434" s="253">
        <v>957</v>
      </c>
      <c r="C434" s="91">
        <v>1</v>
      </c>
      <c r="D434" s="253">
        <v>52</v>
      </c>
      <c r="E434" s="292">
        <v>2.851</v>
      </c>
    </row>
    <row r="435" spans="1:5" ht="12.75">
      <c r="A435" s="364">
        <v>75</v>
      </c>
      <c r="B435" s="253">
        <v>1078</v>
      </c>
      <c r="C435" s="91">
        <v>1</v>
      </c>
      <c r="D435" s="253">
        <v>55</v>
      </c>
      <c r="E435" s="292">
        <v>3.584</v>
      </c>
    </row>
    <row r="436" spans="1:5" ht="12.75">
      <c r="A436" s="364">
        <v>79</v>
      </c>
      <c r="B436" s="253">
        <v>4099</v>
      </c>
      <c r="C436" s="91">
        <v>1</v>
      </c>
      <c r="D436" s="253">
        <v>50</v>
      </c>
      <c r="E436" s="292">
        <v>3.395</v>
      </c>
    </row>
    <row r="437" spans="1:5" ht="12.75">
      <c r="A437" s="364">
        <v>80</v>
      </c>
      <c r="B437" s="253">
        <v>569</v>
      </c>
      <c r="C437" s="91">
        <v>1</v>
      </c>
      <c r="D437" s="253">
        <v>55</v>
      </c>
      <c r="E437" s="292">
        <v>3.83</v>
      </c>
    </row>
    <row r="438" spans="1:5" ht="12.75">
      <c r="A438" s="364">
        <v>81</v>
      </c>
      <c r="B438" s="253">
        <v>1498</v>
      </c>
      <c r="C438" s="91">
        <v>1</v>
      </c>
      <c r="D438" s="253">
        <v>53</v>
      </c>
      <c r="E438" s="292">
        <v>2.583</v>
      </c>
    </row>
    <row r="439" spans="1:5" ht="12.75">
      <c r="A439" s="364">
        <v>82</v>
      </c>
      <c r="B439" s="253">
        <v>1463</v>
      </c>
      <c r="C439" s="91">
        <v>1</v>
      </c>
      <c r="D439" s="253">
        <v>50</v>
      </c>
      <c r="E439" s="292">
        <v>3.66</v>
      </c>
    </row>
    <row r="440" spans="1:5" ht="12.75">
      <c r="A440" s="364">
        <v>83</v>
      </c>
      <c r="B440" s="253">
        <v>2527</v>
      </c>
      <c r="C440" s="91">
        <v>1</v>
      </c>
      <c r="D440" s="253">
        <v>55</v>
      </c>
      <c r="E440" s="292">
        <v>4.519</v>
      </c>
    </row>
    <row r="441" spans="1:5" ht="12.75">
      <c r="A441" s="364">
        <v>85</v>
      </c>
      <c r="B441" s="253">
        <v>3184</v>
      </c>
      <c r="C441" s="91">
        <v>1</v>
      </c>
      <c r="D441" s="253">
        <v>52</v>
      </c>
      <c r="E441" s="292">
        <v>3.137</v>
      </c>
    </row>
    <row r="442" spans="1:5" ht="12.75">
      <c r="A442" s="364">
        <v>89</v>
      </c>
      <c r="B442" s="253">
        <v>3143</v>
      </c>
      <c r="C442" s="91">
        <v>1</v>
      </c>
      <c r="D442" s="253">
        <v>54</v>
      </c>
      <c r="E442" s="292">
        <v>3.259</v>
      </c>
    </row>
    <row r="443" spans="1:5" ht="12.75">
      <c r="A443" s="364">
        <v>91</v>
      </c>
      <c r="B443" s="253">
        <v>3369</v>
      </c>
      <c r="C443" s="91">
        <v>1</v>
      </c>
      <c r="D443" s="253">
        <v>54</v>
      </c>
      <c r="E443" s="292">
        <v>3.346</v>
      </c>
    </row>
    <row r="444" spans="1:5" ht="12.75">
      <c r="A444" s="364">
        <v>94</v>
      </c>
      <c r="B444" s="253">
        <v>3329</v>
      </c>
      <c r="C444" s="91">
        <v>1</v>
      </c>
      <c r="D444" s="253">
        <v>53</v>
      </c>
      <c r="E444" s="292">
        <v>3.128</v>
      </c>
    </row>
    <row r="445" spans="1:5" ht="12.75">
      <c r="A445" s="364">
        <v>95</v>
      </c>
      <c r="B445" s="253">
        <v>1556</v>
      </c>
      <c r="C445" s="91">
        <v>1</v>
      </c>
      <c r="D445" s="253">
        <v>54</v>
      </c>
      <c r="E445" s="292">
        <v>3.602</v>
      </c>
    </row>
    <row r="446" spans="1:5" ht="12.75">
      <c r="A446" s="364">
        <v>96</v>
      </c>
      <c r="B446" s="253">
        <v>2745</v>
      </c>
      <c r="C446" s="91">
        <v>1</v>
      </c>
      <c r="D446" s="253">
        <v>50</v>
      </c>
      <c r="E446" s="292">
        <v>4.039</v>
      </c>
    </row>
    <row r="447" spans="1:5" ht="12.75">
      <c r="A447" s="364">
        <v>97</v>
      </c>
      <c r="B447" s="253">
        <v>2335</v>
      </c>
      <c r="C447" s="91">
        <v>1</v>
      </c>
      <c r="D447" s="253">
        <v>56</v>
      </c>
      <c r="E447" s="292">
        <v>4.477</v>
      </c>
    </row>
    <row r="448" spans="1:5" ht="12.75">
      <c r="A448" s="364">
        <v>98</v>
      </c>
      <c r="B448" s="253">
        <v>2602</v>
      </c>
      <c r="C448" s="91">
        <v>1</v>
      </c>
      <c r="D448" s="253">
        <v>56</v>
      </c>
      <c r="E448" s="292">
        <v>2.367</v>
      </c>
    </row>
    <row r="449" spans="1:5" ht="12.75">
      <c r="A449" s="364">
        <v>100</v>
      </c>
      <c r="B449" s="253">
        <v>3410</v>
      </c>
      <c r="C449" s="91">
        <v>1</v>
      </c>
      <c r="D449" s="253">
        <v>52</v>
      </c>
      <c r="E449" s="292">
        <v>3.568</v>
      </c>
    </row>
    <row r="450" spans="1:5" ht="12.75">
      <c r="A450" s="364">
        <v>101</v>
      </c>
      <c r="B450" s="253">
        <v>1800</v>
      </c>
      <c r="C450" s="91">
        <v>1</v>
      </c>
      <c r="D450" s="253">
        <v>53</v>
      </c>
      <c r="E450" s="292">
        <v>3.491</v>
      </c>
    </row>
    <row r="451" spans="1:5" ht="12.75">
      <c r="A451" s="364">
        <v>104</v>
      </c>
      <c r="B451" s="253">
        <v>2957</v>
      </c>
      <c r="C451" s="91">
        <v>1</v>
      </c>
      <c r="D451" s="253">
        <v>52</v>
      </c>
      <c r="E451" s="292">
        <v>2.781</v>
      </c>
    </row>
    <row r="452" spans="1:5" ht="12.75">
      <c r="A452" s="364">
        <v>106</v>
      </c>
      <c r="B452" s="253">
        <v>347</v>
      </c>
      <c r="C452" s="91">
        <v>1</v>
      </c>
      <c r="D452" s="253">
        <v>51</v>
      </c>
      <c r="E452" s="292">
        <v>2.536</v>
      </c>
    </row>
    <row r="453" spans="1:5" ht="12.75">
      <c r="A453" s="364">
        <v>107</v>
      </c>
      <c r="B453" s="253">
        <v>1689</v>
      </c>
      <c r="C453" s="91">
        <v>1</v>
      </c>
      <c r="D453" s="253">
        <v>51</v>
      </c>
      <c r="E453" s="292">
        <v>2.331</v>
      </c>
    </row>
    <row r="454" spans="1:5" ht="12.75">
      <c r="A454" s="364">
        <v>110</v>
      </c>
      <c r="B454" s="253">
        <v>1705</v>
      </c>
      <c r="C454" s="91">
        <v>1</v>
      </c>
      <c r="D454" s="253">
        <v>52</v>
      </c>
      <c r="E454" s="292">
        <v>3.493</v>
      </c>
    </row>
    <row r="455" spans="1:5" ht="12.75">
      <c r="A455" s="364">
        <v>111</v>
      </c>
      <c r="B455" s="253">
        <v>811</v>
      </c>
      <c r="C455" s="91">
        <v>1</v>
      </c>
      <c r="D455" s="253">
        <v>50</v>
      </c>
      <c r="E455" s="292">
        <v>3.432</v>
      </c>
    </row>
    <row r="456" spans="1:5" ht="12.75">
      <c r="A456" s="364">
        <v>112</v>
      </c>
      <c r="B456" s="253">
        <v>3651</v>
      </c>
      <c r="C456" s="91">
        <v>1</v>
      </c>
      <c r="D456" s="253">
        <v>54</v>
      </c>
      <c r="E456" s="292">
        <v>3.737</v>
      </c>
    </row>
    <row r="457" spans="1:5" ht="12.75">
      <c r="A457" s="364">
        <v>113</v>
      </c>
      <c r="B457" s="253">
        <v>1695</v>
      </c>
      <c r="C457" s="91">
        <v>1</v>
      </c>
      <c r="D457" s="253">
        <v>55</v>
      </c>
      <c r="E457" s="292">
        <v>3.071</v>
      </c>
    </row>
    <row r="458" spans="1:5" ht="12.75">
      <c r="A458" s="364">
        <v>115</v>
      </c>
      <c r="B458" s="253">
        <v>4256</v>
      </c>
      <c r="C458" s="91">
        <v>1</v>
      </c>
      <c r="D458" s="253">
        <v>52</v>
      </c>
      <c r="E458" s="292">
        <v>3.234</v>
      </c>
    </row>
    <row r="459" spans="1:5" ht="12.75">
      <c r="A459" s="364">
        <v>119</v>
      </c>
      <c r="B459" s="253">
        <v>2197</v>
      </c>
      <c r="C459" s="91">
        <v>1</v>
      </c>
      <c r="D459" s="253">
        <v>51</v>
      </c>
      <c r="E459" s="292">
        <v>4.048</v>
      </c>
    </row>
    <row r="460" spans="1:5" ht="12.75">
      <c r="A460" s="364">
        <v>120</v>
      </c>
      <c r="B460" s="253">
        <v>2111</v>
      </c>
      <c r="C460" s="91">
        <v>1</v>
      </c>
      <c r="D460" s="253">
        <v>52</v>
      </c>
      <c r="E460" s="292">
        <v>3.334</v>
      </c>
    </row>
    <row r="461" spans="1:5" ht="12.75">
      <c r="A461" s="364">
        <v>125</v>
      </c>
      <c r="B461" s="253">
        <v>3034</v>
      </c>
      <c r="C461" s="91">
        <v>1</v>
      </c>
      <c r="D461" s="253">
        <v>54</v>
      </c>
      <c r="E461" s="292">
        <v>3.763</v>
      </c>
    </row>
    <row r="462" spans="1:5" ht="12.75">
      <c r="A462" s="364">
        <v>126</v>
      </c>
      <c r="B462" s="253">
        <v>4146</v>
      </c>
      <c r="C462" s="91">
        <v>1</v>
      </c>
      <c r="D462" s="253">
        <v>52</v>
      </c>
      <c r="E462" s="292">
        <v>2.744</v>
      </c>
    </row>
    <row r="463" spans="1:5" ht="12.75">
      <c r="A463" s="364">
        <v>127</v>
      </c>
      <c r="B463" s="253">
        <v>2708</v>
      </c>
      <c r="C463" s="91">
        <v>1</v>
      </c>
      <c r="D463" s="253">
        <v>55</v>
      </c>
      <c r="E463" s="292">
        <v>3.089</v>
      </c>
    </row>
    <row r="464" spans="1:5" ht="12.75">
      <c r="A464" s="364">
        <v>128</v>
      </c>
      <c r="B464" s="253">
        <v>711</v>
      </c>
      <c r="C464" s="91">
        <v>1</v>
      </c>
      <c r="D464" s="253">
        <v>50</v>
      </c>
      <c r="E464" s="292">
        <v>3.459</v>
      </c>
    </row>
    <row r="465" spans="1:5" ht="12.75">
      <c r="A465" s="364">
        <v>131</v>
      </c>
      <c r="B465" s="253">
        <v>3001</v>
      </c>
      <c r="C465" s="91">
        <v>1</v>
      </c>
      <c r="D465" s="253">
        <v>53</v>
      </c>
      <c r="E465" s="292">
        <v>2.177</v>
      </c>
    </row>
    <row r="466" spans="1:5" ht="12.75">
      <c r="A466" s="364">
        <v>134</v>
      </c>
      <c r="B466" s="253">
        <v>876</v>
      </c>
      <c r="C466" s="91">
        <v>1</v>
      </c>
      <c r="D466" s="253">
        <v>53</v>
      </c>
      <c r="E466" s="292">
        <v>3.749</v>
      </c>
    </row>
    <row r="467" spans="1:5" ht="12.75">
      <c r="A467" s="364">
        <v>135</v>
      </c>
      <c r="B467" s="253">
        <v>2709</v>
      </c>
      <c r="C467" s="91">
        <v>1</v>
      </c>
      <c r="D467" s="253">
        <v>55</v>
      </c>
      <c r="E467" s="292">
        <v>3.539</v>
      </c>
    </row>
    <row r="468" spans="1:5" ht="12.75">
      <c r="A468" s="364">
        <v>136</v>
      </c>
      <c r="B468" s="253">
        <v>527</v>
      </c>
      <c r="C468" s="91">
        <v>1</v>
      </c>
      <c r="D468" s="253">
        <v>55</v>
      </c>
      <c r="E468" s="292">
        <v>4.569</v>
      </c>
    </row>
    <row r="469" spans="1:5" ht="12.75">
      <c r="A469" s="364">
        <v>137</v>
      </c>
      <c r="B469" s="253">
        <v>2997</v>
      </c>
      <c r="C469" s="91">
        <v>1</v>
      </c>
      <c r="D469" s="253">
        <v>51</v>
      </c>
      <c r="E469" s="292">
        <v>4.094</v>
      </c>
    </row>
    <row r="470" spans="1:5" ht="12.75">
      <c r="A470" s="364">
        <v>138</v>
      </c>
      <c r="B470" s="253">
        <v>4282</v>
      </c>
      <c r="C470" s="91">
        <v>1</v>
      </c>
      <c r="D470" s="253">
        <v>53</v>
      </c>
      <c r="E470" s="292">
        <v>3.314</v>
      </c>
    </row>
    <row r="471" spans="1:5" ht="12.75">
      <c r="A471" s="364">
        <v>140</v>
      </c>
      <c r="B471" s="253">
        <v>2050</v>
      </c>
      <c r="C471" s="91">
        <v>1</v>
      </c>
      <c r="D471" s="253">
        <v>52</v>
      </c>
      <c r="E471" s="292">
        <v>3.323</v>
      </c>
    </row>
    <row r="472" spans="1:5" ht="12.75">
      <c r="A472" s="364">
        <v>141</v>
      </c>
      <c r="B472" s="253">
        <v>3013</v>
      </c>
      <c r="C472" s="91">
        <v>1</v>
      </c>
      <c r="D472" s="253">
        <v>51</v>
      </c>
      <c r="E472" s="292">
        <v>4.401</v>
      </c>
    </row>
    <row r="473" spans="1:5" ht="12.75">
      <c r="A473" s="364">
        <v>142</v>
      </c>
      <c r="B473" s="253">
        <v>758</v>
      </c>
      <c r="C473" s="91">
        <v>1</v>
      </c>
      <c r="D473" s="253">
        <v>52</v>
      </c>
      <c r="E473" s="292">
        <v>2.751</v>
      </c>
    </row>
    <row r="474" spans="1:5" ht="12.75">
      <c r="A474" s="364">
        <v>146</v>
      </c>
      <c r="B474" s="253">
        <v>4506</v>
      </c>
      <c r="C474" s="91">
        <v>1</v>
      </c>
      <c r="D474" s="253">
        <v>52</v>
      </c>
      <c r="E474" s="292">
        <v>3.355</v>
      </c>
    </row>
    <row r="475" spans="1:5" ht="12.75">
      <c r="A475" s="364">
        <v>149</v>
      </c>
      <c r="B475" s="253">
        <v>591</v>
      </c>
      <c r="C475" s="91">
        <v>1</v>
      </c>
      <c r="D475" s="253">
        <v>52</v>
      </c>
      <c r="E475" s="292">
        <v>3.344</v>
      </c>
    </row>
    <row r="476" spans="1:5" ht="12.75">
      <c r="A476" s="364">
        <v>151</v>
      </c>
      <c r="B476" s="253">
        <v>1472</v>
      </c>
      <c r="C476" s="91">
        <v>1</v>
      </c>
      <c r="D476" s="253">
        <v>52</v>
      </c>
      <c r="E476" s="292">
        <v>2.318</v>
      </c>
    </row>
    <row r="477" spans="1:5" ht="12.75">
      <c r="A477" s="364">
        <v>153</v>
      </c>
      <c r="B477" s="253">
        <v>749</v>
      </c>
      <c r="C477" s="91">
        <v>1</v>
      </c>
      <c r="D477" s="253">
        <v>54</v>
      </c>
      <c r="E477" s="292">
        <v>3.551</v>
      </c>
    </row>
    <row r="478" spans="1:5" ht="12.75">
      <c r="A478" s="364">
        <v>156</v>
      </c>
      <c r="B478" s="253">
        <v>3480</v>
      </c>
      <c r="C478" s="91">
        <v>1</v>
      </c>
      <c r="D478" s="253">
        <v>54</v>
      </c>
      <c r="E478" s="292">
        <v>3.617</v>
      </c>
    </row>
    <row r="479" spans="1:5" ht="12.75">
      <c r="A479" s="364">
        <v>159</v>
      </c>
      <c r="B479" s="253">
        <v>2028</v>
      </c>
      <c r="C479" s="91">
        <v>1</v>
      </c>
      <c r="D479" s="253">
        <v>53</v>
      </c>
      <c r="E479" s="292">
        <v>2.354</v>
      </c>
    </row>
    <row r="480" spans="1:5" ht="12.75">
      <c r="A480" s="364">
        <v>160</v>
      </c>
      <c r="B480" s="253">
        <v>1813</v>
      </c>
      <c r="C480" s="91">
        <v>1</v>
      </c>
      <c r="D480" s="253">
        <v>51</v>
      </c>
      <c r="E480" s="292">
        <v>4.418</v>
      </c>
    </row>
    <row r="481" spans="1:5" ht="12.75">
      <c r="A481" s="364">
        <v>164</v>
      </c>
      <c r="B481" s="253">
        <v>1176</v>
      </c>
      <c r="C481" s="91">
        <v>1</v>
      </c>
      <c r="D481" s="253">
        <v>53</v>
      </c>
      <c r="E481" s="292">
        <v>3.724</v>
      </c>
    </row>
    <row r="482" spans="1:5" ht="12.75">
      <c r="A482" s="364">
        <v>165</v>
      </c>
      <c r="B482" s="253">
        <v>3991</v>
      </c>
      <c r="C482" s="91">
        <v>1</v>
      </c>
      <c r="D482" s="253">
        <v>54</v>
      </c>
      <c r="E482" s="292">
        <v>3.31</v>
      </c>
    </row>
    <row r="483" spans="1:5" ht="12.75">
      <c r="A483" s="364">
        <v>166</v>
      </c>
      <c r="B483" s="253">
        <v>4338</v>
      </c>
      <c r="C483" s="91">
        <v>1</v>
      </c>
      <c r="D483" s="253">
        <v>52</v>
      </c>
      <c r="E483" s="292">
        <v>3.319</v>
      </c>
    </row>
    <row r="484" spans="1:5" ht="12.75">
      <c r="A484" s="364">
        <v>167</v>
      </c>
      <c r="B484" s="253">
        <v>3424</v>
      </c>
      <c r="C484" s="91">
        <v>1</v>
      </c>
      <c r="D484" s="253">
        <v>51</v>
      </c>
      <c r="E484" s="292">
        <v>3.96</v>
      </c>
    </row>
    <row r="485" spans="1:5" ht="12.75">
      <c r="A485" s="364">
        <v>170</v>
      </c>
      <c r="B485" s="253">
        <v>3738</v>
      </c>
      <c r="C485" s="91">
        <v>1</v>
      </c>
      <c r="D485" s="253">
        <v>52</v>
      </c>
      <c r="E485" s="292">
        <v>3.321</v>
      </c>
    </row>
    <row r="486" spans="1:5" ht="12.75">
      <c r="A486" s="364">
        <v>171</v>
      </c>
      <c r="B486" s="253">
        <v>639</v>
      </c>
      <c r="C486" s="91">
        <v>1</v>
      </c>
      <c r="D486" s="253">
        <v>56</v>
      </c>
      <c r="E486" s="292">
        <v>3.601</v>
      </c>
    </row>
    <row r="487" spans="1:5" ht="12.75">
      <c r="A487" s="364">
        <v>172</v>
      </c>
      <c r="B487" s="253">
        <v>4491</v>
      </c>
      <c r="C487" s="91">
        <v>1</v>
      </c>
      <c r="D487" s="253">
        <v>53</v>
      </c>
      <c r="E487" s="292">
        <v>2.938</v>
      </c>
    </row>
    <row r="488" spans="1:5" ht="12.75">
      <c r="A488" s="364">
        <v>175</v>
      </c>
      <c r="B488" s="253">
        <v>4202</v>
      </c>
      <c r="C488" s="91">
        <v>1</v>
      </c>
      <c r="D488" s="253">
        <v>54</v>
      </c>
      <c r="E488" s="292">
        <v>4.002</v>
      </c>
    </row>
    <row r="489" spans="1:5" ht="12.75">
      <c r="A489" s="364">
        <v>177</v>
      </c>
      <c r="B489" s="253">
        <v>4170</v>
      </c>
      <c r="C489" s="91">
        <v>1</v>
      </c>
      <c r="D489" s="253">
        <v>55</v>
      </c>
      <c r="E489" s="292">
        <v>2.992</v>
      </c>
    </row>
    <row r="490" spans="1:5" ht="12.75">
      <c r="A490" s="364">
        <v>178</v>
      </c>
      <c r="B490" s="253">
        <v>2893</v>
      </c>
      <c r="C490" s="91">
        <v>1</v>
      </c>
      <c r="D490" s="253">
        <v>53</v>
      </c>
      <c r="E490" s="292">
        <v>3.478</v>
      </c>
    </row>
    <row r="491" spans="1:5" ht="12.75">
      <c r="A491" s="364">
        <v>179</v>
      </c>
      <c r="B491" s="253">
        <v>4038</v>
      </c>
      <c r="C491" s="91">
        <v>1</v>
      </c>
      <c r="D491" s="253">
        <v>53</v>
      </c>
      <c r="E491" s="292">
        <v>3.973</v>
      </c>
    </row>
    <row r="492" spans="1:5" ht="12.75">
      <c r="A492" s="364">
        <v>180</v>
      </c>
      <c r="B492" s="253">
        <v>207</v>
      </c>
      <c r="C492" s="91">
        <v>1</v>
      </c>
      <c r="D492" s="253">
        <v>56</v>
      </c>
      <c r="E492" s="292">
        <v>3.687</v>
      </c>
    </row>
    <row r="493" spans="1:5" ht="12.75">
      <c r="A493" s="364">
        <v>181</v>
      </c>
      <c r="B493" s="253">
        <v>3565</v>
      </c>
      <c r="C493" s="91">
        <v>1</v>
      </c>
      <c r="D493" s="253">
        <v>54</v>
      </c>
      <c r="E493" s="292">
        <v>3.228</v>
      </c>
    </row>
    <row r="494" spans="1:5" ht="12.75">
      <c r="A494" s="364">
        <v>189</v>
      </c>
      <c r="B494" s="253">
        <v>4554</v>
      </c>
      <c r="C494" s="91">
        <v>1</v>
      </c>
      <c r="D494" s="253">
        <v>55</v>
      </c>
      <c r="E494" s="292">
        <v>2.886</v>
      </c>
    </row>
    <row r="495" spans="1:5" ht="12.75">
      <c r="A495" s="364">
        <v>192</v>
      </c>
      <c r="B495" s="253">
        <v>4269</v>
      </c>
      <c r="C495" s="91">
        <v>1</v>
      </c>
      <c r="D495" s="253">
        <v>52</v>
      </c>
      <c r="E495" s="292">
        <v>3.23</v>
      </c>
    </row>
    <row r="496" spans="1:5" ht="12.75">
      <c r="A496" s="364">
        <v>193</v>
      </c>
      <c r="B496" s="253">
        <v>1941</v>
      </c>
      <c r="C496" s="91">
        <v>1</v>
      </c>
      <c r="D496" s="253">
        <v>53</v>
      </c>
      <c r="E496" s="292">
        <v>3.043</v>
      </c>
    </row>
    <row r="497" spans="1:5" ht="12.75">
      <c r="A497" s="364">
        <v>194</v>
      </c>
      <c r="B497" s="253">
        <v>2134</v>
      </c>
      <c r="C497" s="91">
        <v>1</v>
      </c>
      <c r="D497" s="253">
        <v>52</v>
      </c>
      <c r="E497" s="292">
        <v>3.903</v>
      </c>
    </row>
    <row r="498" spans="1:5" ht="12.75">
      <c r="A498" s="364">
        <v>197</v>
      </c>
      <c r="B498" s="253">
        <v>4354</v>
      </c>
      <c r="C498" s="91">
        <v>1</v>
      </c>
      <c r="D498" s="253">
        <v>55</v>
      </c>
      <c r="E498" s="292">
        <v>2.901</v>
      </c>
    </row>
    <row r="499" spans="1:5" ht="12.75">
      <c r="A499" s="364">
        <v>199</v>
      </c>
      <c r="B499" s="253">
        <v>1592</v>
      </c>
      <c r="C499" s="91">
        <v>1</v>
      </c>
      <c r="D499" s="253">
        <v>56</v>
      </c>
      <c r="E499" s="292">
        <v>4.386</v>
      </c>
    </row>
    <row r="500" spans="1:5" ht="12.75">
      <c r="A500" s="364">
        <v>201</v>
      </c>
      <c r="B500" s="253">
        <v>1807</v>
      </c>
      <c r="C500" s="91">
        <v>1</v>
      </c>
      <c r="D500" s="253">
        <v>56</v>
      </c>
      <c r="E500" s="292">
        <v>3.656</v>
      </c>
    </row>
    <row r="501" spans="1:5" ht="12.75">
      <c r="A501" s="364">
        <v>202</v>
      </c>
      <c r="B501" s="253">
        <v>4020</v>
      </c>
      <c r="C501" s="91">
        <v>1</v>
      </c>
      <c r="D501" s="253">
        <v>52</v>
      </c>
      <c r="E501" s="292">
        <v>3.479</v>
      </c>
    </row>
    <row r="502" spans="1:5" ht="12.75">
      <c r="A502" s="364">
        <v>203</v>
      </c>
      <c r="B502" s="253">
        <v>3388</v>
      </c>
      <c r="C502" s="91">
        <v>1</v>
      </c>
      <c r="D502" s="253">
        <v>53</v>
      </c>
      <c r="E502" s="292">
        <v>2.975</v>
      </c>
    </row>
    <row r="503" spans="1:5" ht="12.75">
      <c r="A503" s="364">
        <v>204</v>
      </c>
      <c r="B503" s="253">
        <v>4129</v>
      </c>
      <c r="C503" s="91">
        <v>1</v>
      </c>
      <c r="D503" s="253">
        <v>51</v>
      </c>
      <c r="E503" s="292">
        <v>3.067</v>
      </c>
    </row>
    <row r="504" spans="1:5" ht="12.75">
      <c r="A504" s="364">
        <v>206</v>
      </c>
      <c r="B504" s="253">
        <v>2918</v>
      </c>
      <c r="C504" s="91">
        <v>1</v>
      </c>
      <c r="D504" s="253">
        <v>52</v>
      </c>
      <c r="E504" s="292">
        <v>3.338</v>
      </c>
    </row>
    <row r="505" spans="1:5" ht="12.75">
      <c r="A505" s="364">
        <v>209</v>
      </c>
      <c r="B505" s="253">
        <v>3256</v>
      </c>
      <c r="C505" s="91">
        <v>1</v>
      </c>
      <c r="D505" s="253">
        <v>55</v>
      </c>
      <c r="E505" s="292">
        <v>3.581</v>
      </c>
    </row>
    <row r="506" spans="1:5" ht="12.75">
      <c r="A506" s="364">
        <v>211</v>
      </c>
      <c r="B506" s="253">
        <v>3163</v>
      </c>
      <c r="C506" s="91">
        <v>1</v>
      </c>
      <c r="D506" s="253">
        <v>50</v>
      </c>
      <c r="E506" s="292">
        <v>3.679</v>
      </c>
    </row>
    <row r="507" spans="1:5" ht="12.75">
      <c r="A507" s="364">
        <v>212</v>
      </c>
      <c r="B507" s="253">
        <v>810</v>
      </c>
      <c r="C507" s="91">
        <v>1</v>
      </c>
      <c r="D507" s="253">
        <v>54</v>
      </c>
      <c r="E507" s="292">
        <v>3.329</v>
      </c>
    </row>
    <row r="508" spans="1:5" ht="12.75">
      <c r="A508" s="364">
        <v>213</v>
      </c>
      <c r="B508" s="253">
        <v>450</v>
      </c>
      <c r="C508" s="91">
        <v>1</v>
      </c>
      <c r="D508" s="253">
        <v>52</v>
      </c>
      <c r="E508" s="292">
        <v>3.399</v>
      </c>
    </row>
    <row r="509" spans="1:5" ht="12.75">
      <c r="A509" s="364">
        <v>214</v>
      </c>
      <c r="B509" s="253">
        <v>3364</v>
      </c>
      <c r="C509" s="91">
        <v>1</v>
      </c>
      <c r="D509" s="253">
        <v>53</v>
      </c>
      <c r="E509" s="292">
        <v>3.414</v>
      </c>
    </row>
    <row r="510" spans="1:5" ht="12.75">
      <c r="A510" s="364">
        <v>216</v>
      </c>
      <c r="B510" s="253">
        <v>3794</v>
      </c>
      <c r="C510" s="91">
        <v>1</v>
      </c>
      <c r="D510" s="253">
        <v>56</v>
      </c>
      <c r="E510" s="292">
        <v>3.349</v>
      </c>
    </row>
    <row r="511" spans="1:5" ht="12.75">
      <c r="A511" s="364">
        <v>217</v>
      </c>
      <c r="B511" s="253">
        <v>1493</v>
      </c>
      <c r="C511" s="91">
        <v>1</v>
      </c>
      <c r="D511" s="253">
        <v>55</v>
      </c>
      <c r="E511" s="292">
        <v>3.37</v>
      </c>
    </row>
    <row r="512" spans="1:5" ht="12.75">
      <c r="A512" s="364">
        <v>218</v>
      </c>
      <c r="B512" s="253">
        <v>1</v>
      </c>
      <c r="C512" s="91">
        <v>1</v>
      </c>
      <c r="D512" s="253">
        <v>53</v>
      </c>
      <c r="E512" s="292">
        <v>2.622</v>
      </c>
    </row>
    <row r="513" spans="1:5" ht="12.75">
      <c r="A513" s="364">
        <v>219</v>
      </c>
      <c r="B513" s="253">
        <v>3337</v>
      </c>
      <c r="C513" s="91">
        <v>1</v>
      </c>
      <c r="D513" s="253">
        <v>51</v>
      </c>
      <c r="E513" s="292">
        <v>4.062</v>
      </c>
    </row>
    <row r="514" spans="1:5" ht="12.75">
      <c r="A514" s="364">
        <v>220</v>
      </c>
      <c r="B514" s="253">
        <v>1291</v>
      </c>
      <c r="C514" s="91">
        <v>1</v>
      </c>
      <c r="D514" s="253">
        <v>54</v>
      </c>
      <c r="E514" s="292">
        <v>3.221</v>
      </c>
    </row>
    <row r="515" spans="1:5" ht="12.75">
      <c r="A515" s="364">
        <v>223</v>
      </c>
      <c r="B515" s="253">
        <v>4153</v>
      </c>
      <c r="C515" s="91">
        <v>1</v>
      </c>
      <c r="D515" s="253">
        <v>50</v>
      </c>
      <c r="E515" s="292">
        <v>3.736</v>
      </c>
    </row>
    <row r="516" spans="1:5" ht="12.75">
      <c r="A516" s="364">
        <v>224</v>
      </c>
      <c r="B516" s="253">
        <v>1721</v>
      </c>
      <c r="C516" s="91">
        <v>1</v>
      </c>
      <c r="D516" s="253">
        <v>54</v>
      </c>
      <c r="E516" s="292">
        <v>4.734</v>
      </c>
    </row>
    <row r="517" spans="1:5" ht="12.75">
      <c r="A517" s="364">
        <v>226</v>
      </c>
      <c r="B517" s="253">
        <v>2880</v>
      </c>
      <c r="C517" s="91">
        <v>1</v>
      </c>
      <c r="D517" s="253">
        <v>53</v>
      </c>
      <c r="E517" s="292">
        <v>3.756</v>
      </c>
    </row>
    <row r="518" spans="1:5" ht="12.75">
      <c r="A518" s="364">
        <v>228</v>
      </c>
      <c r="B518" s="253">
        <v>2820</v>
      </c>
      <c r="C518" s="91">
        <v>1</v>
      </c>
      <c r="D518" s="253">
        <v>56</v>
      </c>
      <c r="E518" s="292">
        <v>2.952</v>
      </c>
    </row>
    <row r="519" spans="1:5" ht="12.75">
      <c r="A519" s="364">
        <v>231</v>
      </c>
      <c r="B519" s="253">
        <v>529</v>
      </c>
      <c r="C519" s="91">
        <v>1</v>
      </c>
      <c r="D519" s="253">
        <v>53</v>
      </c>
      <c r="E519" s="292">
        <v>3.74</v>
      </c>
    </row>
    <row r="520" spans="1:5" ht="12.75">
      <c r="A520" s="364">
        <v>232</v>
      </c>
      <c r="B520" s="253">
        <v>3345</v>
      </c>
      <c r="C520" s="91">
        <v>1</v>
      </c>
      <c r="D520" s="253">
        <v>53</v>
      </c>
      <c r="E520" s="292">
        <v>2.604</v>
      </c>
    </row>
    <row r="521" spans="1:5" ht="12.75">
      <c r="A521" s="364">
        <v>234</v>
      </c>
      <c r="B521" s="253">
        <v>2187</v>
      </c>
      <c r="C521" s="91">
        <v>1</v>
      </c>
      <c r="D521" s="253">
        <v>54</v>
      </c>
      <c r="E521" s="292">
        <v>3.591</v>
      </c>
    </row>
    <row r="522" spans="1:5" ht="12.75">
      <c r="A522" s="364">
        <v>236</v>
      </c>
      <c r="B522" s="253">
        <v>3323</v>
      </c>
      <c r="C522" s="91">
        <v>1</v>
      </c>
      <c r="D522" s="253">
        <v>51</v>
      </c>
      <c r="E522" s="292">
        <v>3.854</v>
      </c>
    </row>
    <row r="523" spans="1:5" ht="12.75">
      <c r="A523" s="364">
        <v>237</v>
      </c>
      <c r="B523" s="253">
        <v>3494</v>
      </c>
      <c r="C523" s="91">
        <v>1</v>
      </c>
      <c r="D523" s="253">
        <v>51</v>
      </c>
      <c r="E523" s="292">
        <v>2.521</v>
      </c>
    </row>
    <row r="524" spans="1:5" ht="12.75">
      <c r="A524" s="364">
        <v>238</v>
      </c>
      <c r="B524" s="253">
        <v>3114</v>
      </c>
      <c r="C524" s="91">
        <v>1</v>
      </c>
      <c r="D524" s="253">
        <v>56</v>
      </c>
      <c r="E524" s="292">
        <v>3.89</v>
      </c>
    </row>
    <row r="525" spans="1:5" ht="12.75">
      <c r="A525" s="364">
        <v>239</v>
      </c>
      <c r="B525" s="253">
        <v>2992</v>
      </c>
      <c r="C525" s="91">
        <v>1</v>
      </c>
      <c r="D525" s="253">
        <v>54</v>
      </c>
      <c r="E525" s="292">
        <v>4.48</v>
      </c>
    </row>
    <row r="526" spans="1:5" ht="12.75">
      <c r="A526" s="364">
        <v>240</v>
      </c>
      <c r="B526" s="253">
        <v>1141</v>
      </c>
      <c r="C526" s="91">
        <v>1</v>
      </c>
      <c r="D526" s="253">
        <v>53</v>
      </c>
      <c r="E526" s="292">
        <v>2.969</v>
      </c>
    </row>
    <row r="527" spans="1:5" ht="12.75">
      <c r="A527" s="364">
        <v>242</v>
      </c>
      <c r="B527" s="253">
        <v>3550</v>
      </c>
      <c r="C527" s="91">
        <v>1</v>
      </c>
      <c r="D527" s="253">
        <v>51</v>
      </c>
      <c r="E527" s="292">
        <v>4.446</v>
      </c>
    </row>
    <row r="528" spans="1:5" ht="12.75">
      <c r="A528" s="364">
        <v>243</v>
      </c>
      <c r="B528" s="253">
        <v>3312</v>
      </c>
      <c r="C528" s="91">
        <v>1</v>
      </c>
      <c r="D528" s="253">
        <v>50</v>
      </c>
      <c r="E528" s="292">
        <v>3.724</v>
      </c>
    </row>
    <row r="529" spans="1:5" ht="12.75">
      <c r="A529" s="364">
        <v>246</v>
      </c>
      <c r="B529" s="253">
        <v>1629</v>
      </c>
      <c r="C529" s="91">
        <v>1</v>
      </c>
      <c r="D529" s="253">
        <v>55</v>
      </c>
      <c r="E529" s="292">
        <v>3.654</v>
      </c>
    </row>
    <row r="530" spans="1:5" ht="12.75">
      <c r="A530" s="364">
        <v>247</v>
      </c>
      <c r="B530" s="253">
        <v>939</v>
      </c>
      <c r="C530" s="91">
        <v>1</v>
      </c>
      <c r="D530" s="253">
        <v>54</v>
      </c>
      <c r="E530" s="292">
        <v>3.689</v>
      </c>
    </row>
    <row r="531" spans="1:5" ht="12.75">
      <c r="A531" s="364">
        <v>248</v>
      </c>
      <c r="B531" s="253">
        <v>3868</v>
      </c>
      <c r="C531" s="91">
        <v>1</v>
      </c>
      <c r="D531" s="253">
        <v>53</v>
      </c>
      <c r="E531" s="292">
        <v>4.689</v>
      </c>
    </row>
    <row r="532" spans="1:5" ht="12.75">
      <c r="A532" s="364">
        <v>249</v>
      </c>
      <c r="B532" s="253">
        <v>134</v>
      </c>
      <c r="C532" s="91">
        <v>1</v>
      </c>
      <c r="D532" s="253">
        <v>52</v>
      </c>
      <c r="E532" s="292">
        <v>3.872</v>
      </c>
    </row>
    <row r="533" spans="1:5" ht="12.75">
      <c r="A533" s="364">
        <v>250</v>
      </c>
      <c r="B533" s="253">
        <v>2181</v>
      </c>
      <c r="C533" s="91">
        <v>1</v>
      </c>
      <c r="D533" s="253">
        <v>54</v>
      </c>
      <c r="E533" s="292">
        <v>3.134</v>
      </c>
    </row>
    <row r="534" spans="1:5" ht="12.75">
      <c r="A534" s="364">
        <v>252</v>
      </c>
      <c r="B534" s="253">
        <v>1824</v>
      </c>
      <c r="C534" s="91">
        <v>1</v>
      </c>
      <c r="D534" s="253">
        <v>55</v>
      </c>
      <c r="E534" s="292">
        <v>2.981</v>
      </c>
    </row>
    <row r="535" spans="1:5" ht="12.75">
      <c r="A535" s="364">
        <v>255</v>
      </c>
      <c r="B535" s="253">
        <v>2362</v>
      </c>
      <c r="C535" s="91">
        <v>1</v>
      </c>
      <c r="D535" s="253">
        <v>51</v>
      </c>
      <c r="E535" s="292">
        <v>2.211</v>
      </c>
    </row>
    <row r="536" spans="1:5" ht="12.75">
      <c r="A536" s="364">
        <v>256</v>
      </c>
      <c r="B536" s="253">
        <v>3462</v>
      </c>
      <c r="C536" s="91">
        <v>1</v>
      </c>
      <c r="D536" s="253">
        <v>56</v>
      </c>
      <c r="E536" s="292">
        <v>3.808</v>
      </c>
    </row>
    <row r="537" spans="1:5" ht="12.75">
      <c r="A537" s="364">
        <v>257</v>
      </c>
      <c r="B537" s="253">
        <v>3989</v>
      </c>
      <c r="C537" s="91">
        <v>1</v>
      </c>
      <c r="D537" s="253">
        <v>50</v>
      </c>
      <c r="E537" s="292">
        <v>3.312</v>
      </c>
    </row>
    <row r="538" spans="1:5" ht="12.75">
      <c r="A538" s="364">
        <v>260</v>
      </c>
      <c r="B538" s="253">
        <v>880</v>
      </c>
      <c r="C538" s="91">
        <v>1</v>
      </c>
      <c r="D538" s="253">
        <v>51</v>
      </c>
      <c r="E538" s="292">
        <v>3.81</v>
      </c>
    </row>
    <row r="539" spans="1:5" ht="12.75">
      <c r="A539" s="364">
        <v>262</v>
      </c>
      <c r="B539" s="253">
        <v>1049</v>
      </c>
      <c r="C539" s="91">
        <v>1</v>
      </c>
      <c r="D539" s="253">
        <v>54</v>
      </c>
      <c r="E539" s="292">
        <v>3.511</v>
      </c>
    </row>
    <row r="540" spans="1:5" ht="12.75">
      <c r="A540" s="365">
        <v>266</v>
      </c>
      <c r="B540" s="290">
        <v>2364</v>
      </c>
      <c r="C540" s="92">
        <v>1</v>
      </c>
      <c r="D540" s="290">
        <v>55</v>
      </c>
      <c r="E540" s="293">
        <v>3.86</v>
      </c>
    </row>
    <row r="543" spans="1:2" ht="12.75">
      <c r="A543" s="13" t="s">
        <v>278</v>
      </c>
      <c r="B543" s="13" t="s">
        <v>279</v>
      </c>
    </row>
    <row r="544" spans="1:9" ht="12.75">
      <c r="A544" s="191"/>
      <c r="B544" s="295"/>
      <c r="C544" s="23" t="s">
        <v>4</v>
      </c>
      <c r="D544" s="2" t="s">
        <v>5</v>
      </c>
      <c r="E544" s="2" t="s">
        <v>0</v>
      </c>
      <c r="F544" s="674" t="s">
        <v>6</v>
      </c>
      <c r="G544" s="674"/>
      <c r="H544" s="674"/>
      <c r="I544" s="675"/>
    </row>
    <row r="545" spans="1:9" ht="13.5" thickBot="1">
      <c r="A545" s="192" t="s">
        <v>1</v>
      </c>
      <c r="B545" s="26" t="s">
        <v>2</v>
      </c>
      <c r="C545" s="25" t="s">
        <v>9</v>
      </c>
      <c r="D545" s="3" t="s">
        <v>10</v>
      </c>
      <c r="E545" s="3" t="s">
        <v>11</v>
      </c>
      <c r="F545" s="298" t="s">
        <v>12</v>
      </c>
      <c r="G545" s="263" t="s">
        <v>13</v>
      </c>
      <c r="H545" s="262" t="s">
        <v>14</v>
      </c>
      <c r="I545" s="263" t="s">
        <v>15</v>
      </c>
    </row>
    <row r="546" spans="1:9" ht="13.5" thickTop="1">
      <c r="A546" s="278">
        <v>16</v>
      </c>
      <c r="B546" s="289">
        <v>1828</v>
      </c>
      <c r="C546" s="89">
        <v>1</v>
      </c>
      <c r="D546" s="90">
        <v>53</v>
      </c>
      <c r="E546" s="291">
        <v>2.348</v>
      </c>
      <c r="F546" s="299">
        <v>1</v>
      </c>
      <c r="G546" s="302">
        <v>0</v>
      </c>
      <c r="H546" s="299">
        <v>0</v>
      </c>
      <c r="I546" s="302">
        <v>0</v>
      </c>
    </row>
    <row r="547" spans="1:9" ht="12.75">
      <c r="A547" s="278">
        <v>22</v>
      </c>
      <c r="B547" s="289">
        <v>1428</v>
      </c>
      <c r="C547" s="89">
        <v>1</v>
      </c>
      <c r="D547" s="90">
        <v>53</v>
      </c>
      <c r="E547" s="291">
        <v>2.399</v>
      </c>
      <c r="F547" s="299">
        <v>1</v>
      </c>
      <c r="G547" s="302">
        <v>0</v>
      </c>
      <c r="H547" s="299">
        <v>0</v>
      </c>
      <c r="I547" s="302">
        <v>0</v>
      </c>
    </row>
    <row r="548" spans="1:9" ht="12.75">
      <c r="A548" s="278">
        <v>25</v>
      </c>
      <c r="B548" s="289">
        <v>2375</v>
      </c>
      <c r="C548" s="89">
        <v>0</v>
      </c>
      <c r="D548" s="90">
        <v>51</v>
      </c>
      <c r="E548" s="291">
        <v>2.105</v>
      </c>
      <c r="F548" s="299">
        <v>1</v>
      </c>
      <c r="G548" s="302">
        <v>0</v>
      </c>
      <c r="H548" s="299">
        <v>0</v>
      </c>
      <c r="I548" s="302">
        <v>0</v>
      </c>
    </row>
    <row r="549" spans="1:9" ht="12.75">
      <c r="A549" s="278">
        <v>32</v>
      </c>
      <c r="B549" s="289">
        <v>854</v>
      </c>
      <c r="C549" s="89">
        <v>0</v>
      </c>
      <c r="D549" s="90">
        <v>53</v>
      </c>
      <c r="E549" s="291">
        <v>3.057</v>
      </c>
      <c r="F549" s="299">
        <v>1</v>
      </c>
      <c r="G549" s="302">
        <v>0</v>
      </c>
      <c r="H549" s="299">
        <v>0</v>
      </c>
      <c r="I549" s="302">
        <v>0</v>
      </c>
    </row>
    <row r="550" spans="1:9" ht="12.75">
      <c r="A550" s="278">
        <v>36</v>
      </c>
      <c r="B550" s="289">
        <v>2462</v>
      </c>
      <c r="C550" s="89">
        <v>1</v>
      </c>
      <c r="D550" s="90">
        <v>53</v>
      </c>
      <c r="E550" s="291">
        <v>2.097</v>
      </c>
      <c r="F550" s="299">
        <v>1</v>
      </c>
      <c r="G550" s="302">
        <v>0</v>
      </c>
      <c r="H550" s="299">
        <v>0</v>
      </c>
      <c r="I550" s="302">
        <v>0</v>
      </c>
    </row>
    <row r="551" spans="1:9" ht="12.75">
      <c r="A551" s="278">
        <v>41</v>
      </c>
      <c r="B551" s="289">
        <v>3147</v>
      </c>
      <c r="C551" s="89">
        <v>0</v>
      </c>
      <c r="D551" s="90">
        <v>52</v>
      </c>
      <c r="E551" s="291">
        <v>2.393</v>
      </c>
      <c r="F551" s="299">
        <v>1</v>
      </c>
      <c r="G551" s="302">
        <v>0</v>
      </c>
      <c r="H551" s="299">
        <v>0</v>
      </c>
      <c r="I551" s="302">
        <v>0</v>
      </c>
    </row>
    <row r="552" spans="1:9" ht="12.75">
      <c r="A552" s="278">
        <v>51</v>
      </c>
      <c r="B552" s="289">
        <v>3501</v>
      </c>
      <c r="C552" s="89">
        <v>0</v>
      </c>
      <c r="D552" s="90">
        <v>53</v>
      </c>
      <c r="E552" s="291">
        <v>2.989</v>
      </c>
      <c r="F552" s="299">
        <v>1</v>
      </c>
      <c r="G552" s="302">
        <v>0</v>
      </c>
      <c r="H552" s="299">
        <v>0</v>
      </c>
      <c r="I552" s="302">
        <v>0</v>
      </c>
    </row>
    <row r="553" spans="1:9" ht="12.75">
      <c r="A553" s="278">
        <v>53</v>
      </c>
      <c r="B553" s="289">
        <v>4250</v>
      </c>
      <c r="C553" s="89">
        <v>0</v>
      </c>
      <c r="D553" s="90">
        <v>52</v>
      </c>
      <c r="E553" s="291">
        <v>2.18</v>
      </c>
      <c r="F553" s="299">
        <v>1</v>
      </c>
      <c r="G553" s="302">
        <v>0</v>
      </c>
      <c r="H553" s="299">
        <v>0</v>
      </c>
      <c r="I553" s="302">
        <v>0</v>
      </c>
    </row>
    <row r="554" spans="1:9" ht="12.75">
      <c r="A554" s="278">
        <v>68</v>
      </c>
      <c r="B554" s="289">
        <v>26</v>
      </c>
      <c r="C554" s="89">
        <v>0</v>
      </c>
      <c r="D554" s="90">
        <v>51</v>
      </c>
      <c r="E554" s="291">
        <v>2.453</v>
      </c>
      <c r="F554" s="299">
        <v>1</v>
      </c>
      <c r="G554" s="302">
        <v>0</v>
      </c>
      <c r="H554" s="299">
        <v>0</v>
      </c>
      <c r="I554" s="302">
        <v>0</v>
      </c>
    </row>
    <row r="555" spans="1:9" ht="12.75">
      <c r="A555" s="278">
        <v>69</v>
      </c>
      <c r="B555" s="289">
        <v>957</v>
      </c>
      <c r="C555" s="89">
        <v>1</v>
      </c>
      <c r="D555" s="90">
        <v>52</v>
      </c>
      <c r="E555" s="291">
        <v>2.851</v>
      </c>
      <c r="F555" s="299">
        <v>1</v>
      </c>
      <c r="G555" s="302">
        <v>0</v>
      </c>
      <c r="H555" s="299">
        <v>0</v>
      </c>
      <c r="I555" s="302">
        <v>0</v>
      </c>
    </row>
    <row r="556" spans="1:9" ht="12.75">
      <c r="A556" s="278">
        <v>81</v>
      </c>
      <c r="B556" s="289">
        <v>1498</v>
      </c>
      <c r="C556" s="89">
        <v>1</v>
      </c>
      <c r="D556" s="90">
        <v>53</v>
      </c>
      <c r="E556" s="291">
        <v>2.583</v>
      </c>
      <c r="F556" s="299">
        <v>1</v>
      </c>
      <c r="G556" s="302">
        <v>0</v>
      </c>
      <c r="H556" s="299">
        <v>0</v>
      </c>
      <c r="I556" s="302">
        <v>0</v>
      </c>
    </row>
    <row r="557" spans="1:9" ht="12.75">
      <c r="A557" s="278">
        <v>87</v>
      </c>
      <c r="B557" s="289">
        <v>140</v>
      </c>
      <c r="C557" s="89">
        <v>0</v>
      </c>
      <c r="D557" s="90">
        <v>55</v>
      </c>
      <c r="E557" s="291">
        <v>3.01</v>
      </c>
      <c r="F557" s="299">
        <v>1</v>
      </c>
      <c r="G557" s="302">
        <v>0</v>
      </c>
      <c r="H557" s="299">
        <v>0</v>
      </c>
      <c r="I557" s="302">
        <v>0</v>
      </c>
    </row>
    <row r="558" spans="1:9" ht="12.75">
      <c r="A558" s="278">
        <v>93</v>
      </c>
      <c r="B558" s="289">
        <v>3675</v>
      </c>
      <c r="C558" s="89">
        <v>0</v>
      </c>
      <c r="D558" s="90">
        <v>52</v>
      </c>
      <c r="E558" s="291">
        <v>2.323</v>
      </c>
      <c r="F558" s="299">
        <v>1</v>
      </c>
      <c r="G558" s="302">
        <v>0</v>
      </c>
      <c r="H558" s="299">
        <v>0</v>
      </c>
      <c r="I558" s="302">
        <v>0</v>
      </c>
    </row>
    <row r="559" spans="1:9" ht="12.75">
      <c r="A559" s="278">
        <v>94</v>
      </c>
      <c r="B559" s="289">
        <v>3329</v>
      </c>
      <c r="C559" s="89">
        <v>1</v>
      </c>
      <c r="D559" s="90">
        <v>53</v>
      </c>
      <c r="E559" s="291">
        <v>3.128</v>
      </c>
      <c r="F559" s="299">
        <v>1</v>
      </c>
      <c r="G559" s="302">
        <v>0</v>
      </c>
      <c r="H559" s="299">
        <v>0</v>
      </c>
      <c r="I559" s="302">
        <v>0</v>
      </c>
    </row>
    <row r="560" spans="1:9" ht="12.75">
      <c r="A560" s="278">
        <v>98</v>
      </c>
      <c r="B560" s="289">
        <v>2602</v>
      </c>
      <c r="C560" s="89">
        <v>1</v>
      </c>
      <c r="D560" s="90">
        <v>56</v>
      </c>
      <c r="E560" s="291">
        <v>2.367</v>
      </c>
      <c r="F560" s="299">
        <v>1</v>
      </c>
      <c r="G560" s="302">
        <v>0</v>
      </c>
      <c r="H560" s="299">
        <v>0</v>
      </c>
      <c r="I560" s="302">
        <v>0</v>
      </c>
    </row>
    <row r="561" spans="1:9" ht="12.75">
      <c r="A561" s="278">
        <v>104</v>
      </c>
      <c r="B561" s="289">
        <v>2957</v>
      </c>
      <c r="C561" s="89">
        <v>1</v>
      </c>
      <c r="D561" s="90">
        <v>52</v>
      </c>
      <c r="E561" s="291">
        <v>2.781</v>
      </c>
      <c r="F561" s="299">
        <v>1</v>
      </c>
      <c r="G561" s="302">
        <v>0</v>
      </c>
      <c r="H561" s="299">
        <v>0</v>
      </c>
      <c r="I561" s="302">
        <v>0</v>
      </c>
    </row>
    <row r="562" spans="1:9" ht="12.75">
      <c r="A562" s="278">
        <v>105</v>
      </c>
      <c r="B562" s="289">
        <v>1126</v>
      </c>
      <c r="C562" s="89">
        <v>0</v>
      </c>
      <c r="D562" s="90">
        <v>51</v>
      </c>
      <c r="E562" s="291">
        <v>2.487</v>
      </c>
      <c r="F562" s="299">
        <v>1</v>
      </c>
      <c r="G562" s="302">
        <v>0</v>
      </c>
      <c r="H562" s="299">
        <v>0</v>
      </c>
      <c r="I562" s="302">
        <v>0</v>
      </c>
    </row>
    <row r="563" spans="1:9" ht="12.75">
      <c r="A563" s="278">
        <v>106</v>
      </c>
      <c r="B563" s="289">
        <v>347</v>
      </c>
      <c r="C563" s="89">
        <v>1</v>
      </c>
      <c r="D563" s="90">
        <v>51</v>
      </c>
      <c r="E563" s="291">
        <v>2.536</v>
      </c>
      <c r="F563" s="299">
        <v>1</v>
      </c>
      <c r="G563" s="302">
        <v>0</v>
      </c>
      <c r="H563" s="299">
        <v>0</v>
      </c>
      <c r="I563" s="302">
        <v>0</v>
      </c>
    </row>
    <row r="564" spans="1:9" ht="12.75">
      <c r="A564" s="278">
        <v>107</v>
      </c>
      <c r="B564" s="289">
        <v>1689</v>
      </c>
      <c r="C564" s="89">
        <v>1</v>
      </c>
      <c r="D564" s="90">
        <v>51</v>
      </c>
      <c r="E564" s="291">
        <v>2.331</v>
      </c>
      <c r="F564" s="299">
        <v>1</v>
      </c>
      <c r="G564" s="302">
        <v>0</v>
      </c>
      <c r="H564" s="299">
        <v>0</v>
      </c>
      <c r="I564" s="302">
        <v>0</v>
      </c>
    </row>
    <row r="565" spans="1:9" ht="12.75">
      <c r="A565" s="278">
        <v>108</v>
      </c>
      <c r="B565" s="289">
        <v>2026</v>
      </c>
      <c r="C565" s="89">
        <v>0</v>
      </c>
      <c r="D565" s="90">
        <v>51</v>
      </c>
      <c r="E565" s="291">
        <v>2.467</v>
      </c>
      <c r="F565" s="299">
        <v>1</v>
      </c>
      <c r="G565" s="302">
        <v>0</v>
      </c>
      <c r="H565" s="299">
        <v>0</v>
      </c>
      <c r="I565" s="302">
        <v>0</v>
      </c>
    </row>
    <row r="566" spans="1:9" ht="12.75">
      <c r="A566" s="278">
        <v>114</v>
      </c>
      <c r="B566" s="289">
        <v>259</v>
      </c>
      <c r="C566" s="89">
        <v>0</v>
      </c>
      <c r="D566" s="90">
        <v>52</v>
      </c>
      <c r="E566" s="291">
        <v>2.96</v>
      </c>
      <c r="F566" s="299">
        <v>1</v>
      </c>
      <c r="G566" s="302">
        <v>0</v>
      </c>
      <c r="H566" s="299">
        <v>0</v>
      </c>
      <c r="I566" s="302">
        <v>0</v>
      </c>
    </row>
    <row r="567" spans="1:9" ht="12.75">
      <c r="A567" s="278">
        <v>126</v>
      </c>
      <c r="B567" s="289">
        <v>4146</v>
      </c>
      <c r="C567" s="89">
        <v>1</v>
      </c>
      <c r="D567" s="90">
        <v>52</v>
      </c>
      <c r="E567" s="291">
        <v>2.744</v>
      </c>
      <c r="F567" s="299">
        <v>1</v>
      </c>
      <c r="G567" s="302">
        <v>0</v>
      </c>
      <c r="H567" s="299">
        <v>0</v>
      </c>
      <c r="I567" s="302">
        <v>0</v>
      </c>
    </row>
    <row r="568" spans="1:9" ht="12.75">
      <c r="A568" s="278">
        <v>139</v>
      </c>
      <c r="B568" s="289">
        <v>771</v>
      </c>
      <c r="C568" s="89">
        <v>0</v>
      </c>
      <c r="D568" s="90">
        <v>54</v>
      </c>
      <c r="E568" s="291">
        <v>2.953</v>
      </c>
      <c r="F568" s="299">
        <v>1</v>
      </c>
      <c r="G568" s="302">
        <v>0</v>
      </c>
      <c r="H568" s="299">
        <v>0</v>
      </c>
      <c r="I568" s="302">
        <v>0</v>
      </c>
    </row>
    <row r="569" spans="1:9" ht="12.75">
      <c r="A569" s="278">
        <v>142</v>
      </c>
      <c r="B569" s="289">
        <v>758</v>
      </c>
      <c r="C569" s="89">
        <v>1</v>
      </c>
      <c r="D569" s="90">
        <v>52</v>
      </c>
      <c r="E569" s="291">
        <v>2.751</v>
      </c>
      <c r="F569" s="299">
        <v>1</v>
      </c>
      <c r="G569" s="302">
        <v>0</v>
      </c>
      <c r="H569" s="299">
        <v>0</v>
      </c>
      <c r="I569" s="302">
        <v>0</v>
      </c>
    </row>
    <row r="570" spans="1:9" ht="12.75">
      <c r="A570" s="278">
        <v>145</v>
      </c>
      <c r="B570" s="289">
        <v>4450</v>
      </c>
      <c r="C570" s="89">
        <v>0</v>
      </c>
      <c r="D570" s="90">
        <v>52</v>
      </c>
      <c r="E570" s="291">
        <v>2.085</v>
      </c>
      <c r="F570" s="299">
        <v>1</v>
      </c>
      <c r="G570" s="302">
        <v>0</v>
      </c>
      <c r="H570" s="299">
        <v>0</v>
      </c>
      <c r="I570" s="302">
        <v>0</v>
      </c>
    </row>
    <row r="571" spans="1:9" ht="12.75">
      <c r="A571" s="278">
        <v>148</v>
      </c>
      <c r="B571" s="289">
        <v>941</v>
      </c>
      <c r="C571" s="89">
        <v>0</v>
      </c>
      <c r="D571" s="90">
        <v>52</v>
      </c>
      <c r="E571" s="291">
        <v>2.976</v>
      </c>
      <c r="F571" s="299">
        <v>1</v>
      </c>
      <c r="G571" s="302">
        <v>0</v>
      </c>
      <c r="H571" s="299">
        <v>0</v>
      </c>
      <c r="I571" s="302">
        <v>0</v>
      </c>
    </row>
    <row r="572" spans="1:9" ht="12.75">
      <c r="A572" s="278">
        <v>151</v>
      </c>
      <c r="B572" s="289">
        <v>1472</v>
      </c>
      <c r="C572" s="89">
        <v>1</v>
      </c>
      <c r="D572" s="90">
        <v>52</v>
      </c>
      <c r="E572" s="291">
        <v>2.318</v>
      </c>
      <c r="F572" s="299">
        <v>1</v>
      </c>
      <c r="G572" s="302">
        <v>0</v>
      </c>
      <c r="H572" s="299">
        <v>0</v>
      </c>
      <c r="I572" s="302">
        <v>0</v>
      </c>
    </row>
    <row r="573" spans="1:9" ht="12.75">
      <c r="A573" s="278">
        <v>158</v>
      </c>
      <c r="B573" s="289">
        <v>670</v>
      </c>
      <c r="C573" s="89">
        <v>0</v>
      </c>
      <c r="D573" s="90">
        <v>52</v>
      </c>
      <c r="E573" s="291">
        <v>2.878</v>
      </c>
      <c r="F573" s="299">
        <v>1</v>
      </c>
      <c r="G573" s="302">
        <v>0</v>
      </c>
      <c r="H573" s="299">
        <v>0</v>
      </c>
      <c r="I573" s="302">
        <v>0</v>
      </c>
    </row>
    <row r="574" spans="1:9" ht="12.75">
      <c r="A574" s="278">
        <v>159</v>
      </c>
      <c r="B574" s="289">
        <v>2028</v>
      </c>
      <c r="C574" s="89">
        <v>1</v>
      </c>
      <c r="D574" s="90">
        <v>53</v>
      </c>
      <c r="E574" s="291">
        <v>2.354</v>
      </c>
      <c r="F574" s="299">
        <v>1</v>
      </c>
      <c r="G574" s="302">
        <v>0</v>
      </c>
      <c r="H574" s="299">
        <v>0</v>
      </c>
      <c r="I574" s="302">
        <v>0</v>
      </c>
    </row>
    <row r="575" spans="1:9" ht="12.75">
      <c r="A575" s="278">
        <v>162</v>
      </c>
      <c r="B575" s="289">
        <v>589</v>
      </c>
      <c r="C575" s="89">
        <v>0</v>
      </c>
      <c r="D575" s="90">
        <v>52</v>
      </c>
      <c r="E575" s="291">
        <v>2.218</v>
      </c>
      <c r="F575" s="299">
        <v>1</v>
      </c>
      <c r="G575" s="302">
        <v>0</v>
      </c>
      <c r="H575" s="299">
        <v>0</v>
      </c>
      <c r="I575" s="302">
        <v>0</v>
      </c>
    </row>
    <row r="576" spans="1:9" ht="12.75">
      <c r="A576" s="278">
        <v>173</v>
      </c>
      <c r="B576" s="289">
        <v>159</v>
      </c>
      <c r="C576" s="89">
        <v>0</v>
      </c>
      <c r="D576" s="90">
        <v>52</v>
      </c>
      <c r="E576" s="291">
        <v>3.088</v>
      </c>
      <c r="F576" s="299">
        <v>1</v>
      </c>
      <c r="G576" s="302">
        <v>0</v>
      </c>
      <c r="H576" s="299">
        <v>0</v>
      </c>
      <c r="I576" s="302">
        <v>0</v>
      </c>
    </row>
    <row r="577" spans="1:9" ht="12.75">
      <c r="A577" s="278">
        <v>174</v>
      </c>
      <c r="B577" s="289">
        <v>4545</v>
      </c>
      <c r="C577" s="89">
        <v>0</v>
      </c>
      <c r="D577" s="90">
        <v>51</v>
      </c>
      <c r="E577" s="291">
        <v>2.893</v>
      </c>
      <c r="F577" s="299">
        <v>1</v>
      </c>
      <c r="G577" s="302">
        <v>0</v>
      </c>
      <c r="H577" s="299">
        <v>0</v>
      </c>
      <c r="I577" s="302">
        <v>0</v>
      </c>
    </row>
    <row r="578" spans="1:9" ht="12.75">
      <c r="A578" s="278">
        <v>176</v>
      </c>
      <c r="B578" s="289">
        <v>2641</v>
      </c>
      <c r="C578" s="89">
        <v>0</v>
      </c>
      <c r="D578" s="90">
        <v>52</v>
      </c>
      <c r="E578" s="291">
        <v>3.026</v>
      </c>
      <c r="F578" s="299">
        <v>1</v>
      </c>
      <c r="G578" s="302">
        <v>0</v>
      </c>
      <c r="H578" s="299">
        <v>0</v>
      </c>
      <c r="I578" s="302">
        <v>0</v>
      </c>
    </row>
    <row r="579" spans="1:9" ht="12.75">
      <c r="A579" s="278">
        <v>177</v>
      </c>
      <c r="B579" s="289">
        <v>4170</v>
      </c>
      <c r="C579" s="89">
        <v>1</v>
      </c>
      <c r="D579" s="90">
        <v>55</v>
      </c>
      <c r="E579" s="291">
        <v>2.992</v>
      </c>
      <c r="F579" s="299">
        <v>1</v>
      </c>
      <c r="G579" s="302">
        <v>0</v>
      </c>
      <c r="H579" s="299">
        <v>0</v>
      </c>
      <c r="I579" s="302">
        <v>0</v>
      </c>
    </row>
    <row r="580" spans="1:9" ht="12.75">
      <c r="A580" s="278">
        <v>183</v>
      </c>
      <c r="B580" s="289">
        <v>4212</v>
      </c>
      <c r="C580" s="89">
        <v>0</v>
      </c>
      <c r="D580" s="90">
        <v>54</v>
      </c>
      <c r="E580" s="291">
        <v>3.047</v>
      </c>
      <c r="F580" s="299">
        <v>1</v>
      </c>
      <c r="G580" s="302">
        <v>0</v>
      </c>
      <c r="H580" s="299">
        <v>0</v>
      </c>
      <c r="I580" s="302">
        <v>0</v>
      </c>
    </row>
    <row r="581" spans="1:9" ht="12.75">
      <c r="A581" s="278">
        <v>189</v>
      </c>
      <c r="B581" s="289">
        <v>4554</v>
      </c>
      <c r="C581" s="89">
        <v>1</v>
      </c>
      <c r="D581" s="90">
        <v>55</v>
      </c>
      <c r="E581" s="291">
        <v>2.886</v>
      </c>
      <c r="F581" s="299">
        <v>1</v>
      </c>
      <c r="G581" s="302">
        <v>0</v>
      </c>
      <c r="H581" s="299">
        <v>0</v>
      </c>
      <c r="I581" s="302">
        <v>0</v>
      </c>
    </row>
    <row r="582" spans="1:9" ht="12.75">
      <c r="A582" s="278">
        <v>190</v>
      </c>
      <c r="B582" s="289">
        <v>1420</v>
      </c>
      <c r="C582" s="89">
        <v>0</v>
      </c>
      <c r="D582" s="90">
        <v>55</v>
      </c>
      <c r="E582" s="291">
        <v>2.905</v>
      </c>
      <c r="F582" s="299">
        <v>1</v>
      </c>
      <c r="G582" s="302">
        <v>0</v>
      </c>
      <c r="H582" s="299">
        <v>0</v>
      </c>
      <c r="I582" s="302">
        <v>0</v>
      </c>
    </row>
    <row r="583" spans="1:9" ht="12.75">
      <c r="A583" s="278">
        <v>193</v>
      </c>
      <c r="B583" s="289">
        <v>1941</v>
      </c>
      <c r="C583" s="89">
        <v>1</v>
      </c>
      <c r="D583" s="90">
        <v>53</v>
      </c>
      <c r="E583" s="291">
        <v>3.043</v>
      </c>
      <c r="F583" s="299">
        <v>1</v>
      </c>
      <c r="G583" s="302">
        <v>0</v>
      </c>
      <c r="H583" s="299">
        <v>0</v>
      </c>
      <c r="I583" s="302">
        <v>0</v>
      </c>
    </row>
    <row r="584" spans="1:9" ht="12.75">
      <c r="A584" s="278">
        <v>197</v>
      </c>
      <c r="B584" s="289">
        <v>4354</v>
      </c>
      <c r="C584" s="89">
        <v>1</v>
      </c>
      <c r="D584" s="90">
        <v>55</v>
      </c>
      <c r="E584" s="291">
        <v>2.901</v>
      </c>
      <c r="F584" s="299">
        <v>1</v>
      </c>
      <c r="G584" s="302">
        <v>0</v>
      </c>
      <c r="H584" s="299">
        <v>0</v>
      </c>
      <c r="I584" s="302">
        <v>0</v>
      </c>
    </row>
    <row r="585" spans="1:9" ht="12.75">
      <c r="A585" s="278">
        <v>203</v>
      </c>
      <c r="B585" s="289">
        <v>3388</v>
      </c>
      <c r="C585" s="89">
        <v>1</v>
      </c>
      <c r="D585" s="90">
        <v>53</v>
      </c>
      <c r="E585" s="291">
        <v>2.975</v>
      </c>
      <c r="F585" s="299">
        <v>1</v>
      </c>
      <c r="G585" s="302">
        <v>0</v>
      </c>
      <c r="H585" s="299">
        <v>0</v>
      </c>
      <c r="I585" s="302">
        <v>0</v>
      </c>
    </row>
    <row r="586" spans="1:9" ht="12.75">
      <c r="A586" s="278">
        <v>204</v>
      </c>
      <c r="B586" s="289">
        <v>4129</v>
      </c>
      <c r="C586" s="89">
        <v>1</v>
      </c>
      <c r="D586" s="90">
        <v>51</v>
      </c>
      <c r="E586" s="291">
        <v>3.067</v>
      </c>
      <c r="F586" s="299">
        <v>1</v>
      </c>
      <c r="G586" s="302">
        <v>0</v>
      </c>
      <c r="H586" s="299">
        <v>0</v>
      </c>
      <c r="I586" s="302">
        <v>0</v>
      </c>
    </row>
    <row r="587" spans="1:9" ht="12.75">
      <c r="A587" s="278">
        <v>221</v>
      </c>
      <c r="B587" s="289">
        <v>3995</v>
      </c>
      <c r="C587" s="89">
        <v>0</v>
      </c>
      <c r="D587" s="90">
        <v>53</v>
      </c>
      <c r="E587" s="291">
        <v>3.008</v>
      </c>
      <c r="F587" s="299">
        <v>1</v>
      </c>
      <c r="G587" s="302">
        <v>0</v>
      </c>
      <c r="H587" s="299">
        <v>0</v>
      </c>
      <c r="I587" s="302">
        <v>0</v>
      </c>
    </row>
    <row r="588" spans="1:9" ht="12.75">
      <c r="A588" s="278">
        <v>228</v>
      </c>
      <c r="B588" s="289">
        <v>2820</v>
      </c>
      <c r="C588" s="89">
        <v>1</v>
      </c>
      <c r="D588" s="90">
        <v>56</v>
      </c>
      <c r="E588" s="291">
        <v>2.952</v>
      </c>
      <c r="F588" s="299">
        <v>1</v>
      </c>
      <c r="G588" s="302">
        <v>0</v>
      </c>
      <c r="H588" s="299">
        <v>0</v>
      </c>
      <c r="I588" s="302">
        <v>0</v>
      </c>
    </row>
    <row r="589" spans="1:9" ht="12.75">
      <c r="A589" s="278">
        <v>232</v>
      </c>
      <c r="B589" s="289">
        <v>3345</v>
      </c>
      <c r="C589" s="89">
        <v>1</v>
      </c>
      <c r="D589" s="90">
        <v>53</v>
      </c>
      <c r="E589" s="291">
        <v>2.604</v>
      </c>
      <c r="F589" s="299">
        <v>1</v>
      </c>
      <c r="G589" s="302">
        <v>0</v>
      </c>
      <c r="H589" s="299">
        <v>0</v>
      </c>
      <c r="I589" s="302">
        <v>0</v>
      </c>
    </row>
    <row r="590" spans="1:9" ht="12.75">
      <c r="A590" s="278">
        <v>235</v>
      </c>
      <c r="B590" s="289">
        <v>4145</v>
      </c>
      <c r="C590" s="89">
        <v>0</v>
      </c>
      <c r="D590" s="90">
        <v>51</v>
      </c>
      <c r="E590" s="291">
        <v>2.813</v>
      </c>
      <c r="F590" s="299">
        <v>1</v>
      </c>
      <c r="G590" s="302">
        <v>0</v>
      </c>
      <c r="H590" s="299">
        <v>0</v>
      </c>
      <c r="I590" s="302">
        <v>0</v>
      </c>
    </row>
    <row r="591" spans="1:9" ht="12.75">
      <c r="A591" s="278">
        <v>237</v>
      </c>
      <c r="B591" s="289">
        <v>3494</v>
      </c>
      <c r="C591" s="89">
        <v>1</v>
      </c>
      <c r="D591" s="90">
        <v>51</v>
      </c>
      <c r="E591" s="291">
        <v>2.521</v>
      </c>
      <c r="F591" s="299">
        <v>1</v>
      </c>
      <c r="G591" s="302">
        <v>0</v>
      </c>
      <c r="H591" s="299">
        <v>0</v>
      </c>
      <c r="I591" s="302">
        <v>0</v>
      </c>
    </row>
    <row r="592" spans="1:9" ht="12.75">
      <c r="A592" s="278">
        <v>240</v>
      </c>
      <c r="B592" s="289">
        <v>1141</v>
      </c>
      <c r="C592" s="89">
        <v>1</v>
      </c>
      <c r="D592" s="90">
        <v>53</v>
      </c>
      <c r="E592" s="291">
        <v>2.969</v>
      </c>
      <c r="F592" s="299">
        <v>1</v>
      </c>
      <c r="G592" s="302">
        <v>0</v>
      </c>
      <c r="H592" s="299">
        <v>0</v>
      </c>
      <c r="I592" s="302">
        <v>0</v>
      </c>
    </row>
    <row r="593" spans="1:9" ht="12.75">
      <c r="A593" s="278">
        <v>252</v>
      </c>
      <c r="B593" s="289">
        <v>1824</v>
      </c>
      <c r="C593" s="89">
        <v>1</v>
      </c>
      <c r="D593" s="90">
        <v>55</v>
      </c>
      <c r="E593" s="291">
        <v>2.981</v>
      </c>
      <c r="F593" s="299">
        <v>1</v>
      </c>
      <c r="G593" s="302">
        <v>0</v>
      </c>
      <c r="H593" s="299">
        <v>0</v>
      </c>
      <c r="I593" s="302">
        <v>0</v>
      </c>
    </row>
    <row r="594" spans="1:9" ht="12.75">
      <c r="A594" s="278">
        <v>255</v>
      </c>
      <c r="B594" s="289">
        <v>2362</v>
      </c>
      <c r="C594" s="89">
        <v>1</v>
      </c>
      <c r="D594" s="90">
        <v>51</v>
      </c>
      <c r="E594" s="291">
        <v>2.211</v>
      </c>
      <c r="F594" s="299">
        <v>1</v>
      </c>
      <c r="G594" s="302">
        <v>0</v>
      </c>
      <c r="H594" s="299">
        <v>0</v>
      </c>
      <c r="I594" s="302">
        <v>0</v>
      </c>
    </row>
    <row r="595" spans="1:9" ht="12.75">
      <c r="A595" s="278">
        <v>265</v>
      </c>
      <c r="B595" s="289">
        <v>2570</v>
      </c>
      <c r="C595" s="89">
        <v>0</v>
      </c>
      <c r="D595" s="90">
        <v>52</v>
      </c>
      <c r="E595" s="291">
        <v>2.748</v>
      </c>
      <c r="F595" s="299">
        <v>1</v>
      </c>
      <c r="G595" s="302">
        <v>0</v>
      </c>
      <c r="H595" s="299">
        <v>0</v>
      </c>
      <c r="I595" s="302">
        <v>0</v>
      </c>
    </row>
    <row r="596" spans="1:9" ht="12.75">
      <c r="A596" s="294">
        <v>1</v>
      </c>
      <c r="B596" s="253">
        <v>3231</v>
      </c>
      <c r="C596" s="5">
        <v>1</v>
      </c>
      <c r="D596" s="91">
        <v>52</v>
      </c>
      <c r="E596" s="292">
        <v>3.199</v>
      </c>
      <c r="F596" s="300">
        <v>0</v>
      </c>
      <c r="G596" s="303">
        <v>1</v>
      </c>
      <c r="H596" s="300">
        <v>0</v>
      </c>
      <c r="I596" s="303">
        <v>0</v>
      </c>
    </row>
    <row r="597" spans="1:9" ht="12.75">
      <c r="A597" s="294">
        <v>3</v>
      </c>
      <c r="B597" s="253">
        <v>2318</v>
      </c>
      <c r="C597" s="5">
        <v>0</v>
      </c>
      <c r="D597" s="91">
        <v>53</v>
      </c>
      <c r="E597" s="292">
        <v>3.346</v>
      </c>
      <c r="F597" s="300">
        <v>0</v>
      </c>
      <c r="G597" s="303">
        <v>1</v>
      </c>
      <c r="H597" s="300">
        <v>0</v>
      </c>
      <c r="I597" s="303">
        <v>0</v>
      </c>
    </row>
    <row r="598" spans="1:9" ht="12.75">
      <c r="A598" s="294">
        <v>4</v>
      </c>
      <c r="B598" s="253">
        <v>1608</v>
      </c>
      <c r="C598" s="5">
        <v>0</v>
      </c>
      <c r="D598" s="91">
        <v>54</v>
      </c>
      <c r="E598" s="292">
        <v>3.15</v>
      </c>
      <c r="F598" s="300">
        <v>0</v>
      </c>
      <c r="G598" s="303">
        <v>1</v>
      </c>
      <c r="H598" s="300">
        <v>0</v>
      </c>
      <c r="I598" s="303">
        <v>0</v>
      </c>
    </row>
    <row r="599" spans="1:9" ht="12.75">
      <c r="A599" s="294">
        <v>5</v>
      </c>
      <c r="B599" s="253">
        <v>4572</v>
      </c>
      <c r="C599" s="5">
        <v>1</v>
      </c>
      <c r="D599" s="91">
        <v>54</v>
      </c>
      <c r="E599" s="292">
        <v>3.098</v>
      </c>
      <c r="F599" s="300">
        <v>0</v>
      </c>
      <c r="G599" s="303">
        <v>1</v>
      </c>
      <c r="H599" s="300">
        <v>0</v>
      </c>
      <c r="I599" s="303">
        <v>0</v>
      </c>
    </row>
    <row r="600" spans="1:9" ht="12.75">
      <c r="A600" s="294">
        <v>6</v>
      </c>
      <c r="B600" s="253">
        <v>253</v>
      </c>
      <c r="C600" s="5">
        <v>0</v>
      </c>
      <c r="D600" s="91">
        <v>55</v>
      </c>
      <c r="E600" s="292">
        <v>3.347</v>
      </c>
      <c r="F600" s="300">
        <v>0</v>
      </c>
      <c r="G600" s="303">
        <v>1</v>
      </c>
      <c r="H600" s="300">
        <v>0</v>
      </c>
      <c r="I600" s="303">
        <v>0</v>
      </c>
    </row>
    <row r="601" spans="1:9" ht="12.75">
      <c r="A601" s="294">
        <v>8</v>
      </c>
      <c r="B601" s="253">
        <v>237</v>
      </c>
      <c r="C601" s="5">
        <v>1</v>
      </c>
      <c r="D601" s="91">
        <v>52</v>
      </c>
      <c r="E601" s="292">
        <v>3.156</v>
      </c>
      <c r="F601" s="300">
        <v>0</v>
      </c>
      <c r="G601" s="303">
        <v>1</v>
      </c>
      <c r="H601" s="300">
        <v>0</v>
      </c>
      <c r="I601" s="303">
        <v>0</v>
      </c>
    </row>
    <row r="602" spans="1:9" ht="12.75">
      <c r="A602" s="294">
        <v>9</v>
      </c>
      <c r="B602" s="253">
        <v>2422</v>
      </c>
      <c r="C602" s="5">
        <v>0</v>
      </c>
      <c r="D602" s="91">
        <v>55</v>
      </c>
      <c r="E602" s="292">
        <v>3.245</v>
      </c>
      <c r="F602" s="300">
        <v>0</v>
      </c>
      <c r="G602" s="303">
        <v>1</v>
      </c>
      <c r="H602" s="300">
        <v>0</v>
      </c>
      <c r="I602" s="303">
        <v>0</v>
      </c>
    </row>
    <row r="603" spans="1:9" ht="12.75">
      <c r="A603" s="294">
        <v>10</v>
      </c>
      <c r="B603" s="253">
        <v>2043</v>
      </c>
      <c r="C603" s="5">
        <v>0</v>
      </c>
      <c r="D603" s="91">
        <v>55</v>
      </c>
      <c r="E603" s="292">
        <v>3.152</v>
      </c>
      <c r="F603" s="300">
        <v>0</v>
      </c>
      <c r="G603" s="303">
        <v>1</v>
      </c>
      <c r="H603" s="300">
        <v>0</v>
      </c>
      <c r="I603" s="303">
        <v>0</v>
      </c>
    </row>
    <row r="604" spans="1:9" ht="12.75">
      <c r="A604" s="294">
        <v>12</v>
      </c>
      <c r="B604" s="253">
        <v>3951</v>
      </c>
      <c r="C604" s="5">
        <v>0</v>
      </c>
      <c r="D604" s="91">
        <v>53</v>
      </c>
      <c r="E604" s="292">
        <v>3.35</v>
      </c>
      <c r="F604" s="300">
        <v>0</v>
      </c>
      <c r="G604" s="303">
        <v>1</v>
      </c>
      <c r="H604" s="300">
        <v>0</v>
      </c>
      <c r="I604" s="303">
        <v>0</v>
      </c>
    </row>
    <row r="605" spans="1:9" ht="12.75">
      <c r="A605" s="294">
        <v>14</v>
      </c>
      <c r="B605" s="253">
        <v>930</v>
      </c>
      <c r="C605" s="5">
        <v>0</v>
      </c>
      <c r="D605" s="91">
        <v>52</v>
      </c>
      <c r="E605" s="292">
        <v>3.321</v>
      </c>
      <c r="F605" s="300">
        <v>0</v>
      </c>
      <c r="G605" s="303">
        <v>1</v>
      </c>
      <c r="H605" s="300">
        <v>0</v>
      </c>
      <c r="I605" s="303">
        <v>0</v>
      </c>
    </row>
    <row r="606" spans="1:9" ht="12.75">
      <c r="A606" s="294">
        <v>17</v>
      </c>
      <c r="B606" s="253">
        <v>544</v>
      </c>
      <c r="C606" s="5">
        <v>1</v>
      </c>
      <c r="D606" s="91">
        <v>56</v>
      </c>
      <c r="E606" s="292">
        <v>3.36</v>
      </c>
      <c r="F606" s="300">
        <v>0</v>
      </c>
      <c r="G606" s="303">
        <v>1</v>
      </c>
      <c r="H606" s="300">
        <v>0</v>
      </c>
      <c r="I606" s="303">
        <v>0</v>
      </c>
    </row>
    <row r="607" spans="1:9" ht="12.75">
      <c r="A607" s="294">
        <v>24</v>
      </c>
      <c r="B607" s="253">
        <v>212</v>
      </c>
      <c r="C607" s="5">
        <v>1</v>
      </c>
      <c r="D607" s="91">
        <v>51</v>
      </c>
      <c r="E607" s="292">
        <v>3.301</v>
      </c>
      <c r="F607" s="300">
        <v>0</v>
      </c>
      <c r="G607" s="303">
        <v>1</v>
      </c>
      <c r="H607" s="300">
        <v>0</v>
      </c>
      <c r="I607" s="303">
        <v>0</v>
      </c>
    </row>
    <row r="608" spans="1:9" ht="12.75">
      <c r="A608" s="294">
        <v>26</v>
      </c>
      <c r="B608" s="253">
        <v>1485</v>
      </c>
      <c r="C608" s="5">
        <v>1</v>
      </c>
      <c r="D608" s="91">
        <v>54</v>
      </c>
      <c r="E608" s="292">
        <v>3.464</v>
      </c>
      <c r="F608" s="300">
        <v>0</v>
      </c>
      <c r="G608" s="303">
        <v>1</v>
      </c>
      <c r="H608" s="300">
        <v>0</v>
      </c>
      <c r="I608" s="303">
        <v>0</v>
      </c>
    </row>
    <row r="609" spans="1:9" ht="12.75">
      <c r="A609" s="294">
        <v>27</v>
      </c>
      <c r="B609" s="253">
        <v>853</v>
      </c>
      <c r="C609" s="5">
        <v>1</v>
      </c>
      <c r="D609" s="91">
        <v>56</v>
      </c>
      <c r="E609" s="292">
        <v>3.341</v>
      </c>
      <c r="F609" s="300">
        <v>0</v>
      </c>
      <c r="G609" s="303">
        <v>1</v>
      </c>
      <c r="H609" s="300">
        <v>0</v>
      </c>
      <c r="I609" s="303">
        <v>0</v>
      </c>
    </row>
    <row r="610" spans="1:9" ht="12.75">
      <c r="A610" s="294">
        <v>28</v>
      </c>
      <c r="B610" s="253">
        <v>2612</v>
      </c>
      <c r="C610" s="5">
        <v>0</v>
      </c>
      <c r="D610" s="91">
        <v>52</v>
      </c>
      <c r="E610" s="292">
        <v>3.242</v>
      </c>
      <c r="F610" s="300">
        <v>0</v>
      </c>
      <c r="G610" s="303">
        <v>1</v>
      </c>
      <c r="H610" s="300">
        <v>0</v>
      </c>
      <c r="I610" s="303">
        <v>0</v>
      </c>
    </row>
    <row r="611" spans="1:9" ht="12.75">
      <c r="A611" s="294">
        <v>29</v>
      </c>
      <c r="B611" s="253">
        <v>3959</v>
      </c>
      <c r="C611" s="5">
        <v>1</v>
      </c>
      <c r="D611" s="91">
        <v>54</v>
      </c>
      <c r="E611" s="292">
        <v>3.216</v>
      </c>
      <c r="F611" s="300">
        <v>0</v>
      </c>
      <c r="G611" s="303">
        <v>1</v>
      </c>
      <c r="H611" s="300">
        <v>0</v>
      </c>
      <c r="I611" s="303">
        <v>0</v>
      </c>
    </row>
    <row r="612" spans="1:9" ht="12.75">
      <c r="A612" s="294">
        <v>30</v>
      </c>
      <c r="B612" s="253">
        <v>1808</v>
      </c>
      <c r="C612" s="5">
        <v>1</v>
      </c>
      <c r="D612" s="91">
        <v>53</v>
      </c>
      <c r="E612" s="292">
        <v>3.127</v>
      </c>
      <c r="F612" s="300">
        <v>0</v>
      </c>
      <c r="G612" s="303">
        <v>1</v>
      </c>
      <c r="H612" s="300">
        <v>0</v>
      </c>
      <c r="I612" s="303">
        <v>0</v>
      </c>
    </row>
    <row r="613" spans="1:9" ht="12.75">
      <c r="A613" s="294">
        <v>39</v>
      </c>
      <c r="B613" s="253">
        <v>2810</v>
      </c>
      <c r="C613" s="5">
        <v>0</v>
      </c>
      <c r="D613" s="91">
        <v>53</v>
      </c>
      <c r="E613" s="292">
        <v>3.337</v>
      </c>
      <c r="F613" s="300">
        <v>0</v>
      </c>
      <c r="G613" s="303">
        <v>1</v>
      </c>
      <c r="H613" s="300">
        <v>0</v>
      </c>
      <c r="I613" s="303">
        <v>0</v>
      </c>
    </row>
    <row r="614" spans="1:9" ht="12.75">
      <c r="A614" s="294">
        <v>42</v>
      </c>
      <c r="B614" s="253">
        <v>3632</v>
      </c>
      <c r="C614" s="5">
        <v>1</v>
      </c>
      <c r="D614" s="91">
        <v>54</v>
      </c>
      <c r="E614" s="292">
        <v>3.468</v>
      </c>
      <c r="F614" s="300">
        <v>0</v>
      </c>
      <c r="G614" s="303">
        <v>1</v>
      </c>
      <c r="H614" s="300">
        <v>0</v>
      </c>
      <c r="I614" s="303">
        <v>0</v>
      </c>
    </row>
    <row r="615" spans="1:9" ht="12.75">
      <c r="A615" s="294">
        <v>44</v>
      </c>
      <c r="B615" s="253">
        <v>750</v>
      </c>
      <c r="C615" s="5">
        <v>0</v>
      </c>
      <c r="D615" s="91">
        <v>53</v>
      </c>
      <c r="E615" s="292">
        <v>3.231</v>
      </c>
      <c r="F615" s="300">
        <v>0</v>
      </c>
      <c r="G615" s="303">
        <v>1</v>
      </c>
      <c r="H615" s="300">
        <v>0</v>
      </c>
      <c r="I615" s="303">
        <v>0</v>
      </c>
    </row>
    <row r="616" spans="1:9" ht="12.75">
      <c r="A616" s="294">
        <v>47</v>
      </c>
      <c r="B616" s="253">
        <v>3849</v>
      </c>
      <c r="C616" s="5">
        <v>1</v>
      </c>
      <c r="D616" s="91">
        <v>55</v>
      </c>
      <c r="E616" s="292">
        <v>3.001</v>
      </c>
      <c r="F616" s="300">
        <v>0</v>
      </c>
      <c r="G616" s="303">
        <v>1</v>
      </c>
      <c r="H616" s="300">
        <v>0</v>
      </c>
      <c r="I616" s="303">
        <v>0</v>
      </c>
    </row>
    <row r="617" spans="1:9" ht="12.75">
      <c r="A617" s="294">
        <v>49</v>
      </c>
      <c r="B617" s="253">
        <v>1830</v>
      </c>
      <c r="C617" s="5">
        <v>0</v>
      </c>
      <c r="D617" s="91">
        <v>52</v>
      </c>
      <c r="E617" s="292">
        <v>3.268</v>
      </c>
      <c r="F617" s="300">
        <v>0</v>
      </c>
      <c r="G617" s="303">
        <v>1</v>
      </c>
      <c r="H617" s="300">
        <v>0</v>
      </c>
      <c r="I617" s="303">
        <v>0</v>
      </c>
    </row>
    <row r="618" spans="1:9" ht="12.75">
      <c r="A618" s="294">
        <v>57</v>
      </c>
      <c r="B618" s="253">
        <v>1881</v>
      </c>
      <c r="C618" s="5">
        <v>0</v>
      </c>
      <c r="D618" s="91">
        <v>53</v>
      </c>
      <c r="E618" s="292">
        <v>3.281</v>
      </c>
      <c r="F618" s="300">
        <v>0</v>
      </c>
      <c r="G618" s="303">
        <v>1</v>
      </c>
      <c r="H618" s="300">
        <v>0</v>
      </c>
      <c r="I618" s="303">
        <v>0</v>
      </c>
    </row>
    <row r="619" spans="1:9" ht="12.75">
      <c r="A619" s="294">
        <v>65</v>
      </c>
      <c r="B619" s="253">
        <v>3432</v>
      </c>
      <c r="C619" s="5">
        <v>0</v>
      </c>
      <c r="D619" s="91">
        <v>55</v>
      </c>
      <c r="E619" s="292">
        <v>3.398</v>
      </c>
      <c r="F619" s="300">
        <v>0</v>
      </c>
      <c r="G619" s="303">
        <v>1</v>
      </c>
      <c r="H619" s="300">
        <v>0</v>
      </c>
      <c r="I619" s="303">
        <v>0</v>
      </c>
    </row>
    <row r="620" spans="1:9" ht="12.75">
      <c r="A620" s="294">
        <v>66</v>
      </c>
      <c r="B620" s="253">
        <v>4300</v>
      </c>
      <c r="C620" s="5">
        <v>1</v>
      </c>
      <c r="D620" s="91">
        <v>53</v>
      </c>
      <c r="E620" s="292">
        <v>3.203</v>
      </c>
      <c r="F620" s="300">
        <v>0</v>
      </c>
      <c r="G620" s="303">
        <v>1</v>
      </c>
      <c r="H620" s="300">
        <v>0</v>
      </c>
      <c r="I620" s="303">
        <v>0</v>
      </c>
    </row>
    <row r="621" spans="1:9" ht="12.75">
      <c r="A621" s="294">
        <v>79</v>
      </c>
      <c r="B621" s="253">
        <v>4099</v>
      </c>
      <c r="C621" s="5">
        <v>1</v>
      </c>
      <c r="D621" s="91">
        <v>50</v>
      </c>
      <c r="E621" s="292">
        <v>3.395</v>
      </c>
      <c r="F621" s="300">
        <v>0</v>
      </c>
      <c r="G621" s="303">
        <v>1</v>
      </c>
      <c r="H621" s="300">
        <v>0</v>
      </c>
      <c r="I621" s="303">
        <v>0</v>
      </c>
    </row>
    <row r="622" spans="1:9" ht="12.75">
      <c r="A622" s="294">
        <v>85</v>
      </c>
      <c r="B622" s="253">
        <v>3184</v>
      </c>
      <c r="C622" s="5">
        <v>1</v>
      </c>
      <c r="D622" s="91">
        <v>52</v>
      </c>
      <c r="E622" s="292">
        <v>3.137</v>
      </c>
      <c r="F622" s="300">
        <v>0</v>
      </c>
      <c r="G622" s="303">
        <v>1</v>
      </c>
      <c r="H622" s="300">
        <v>0</v>
      </c>
      <c r="I622" s="303">
        <v>0</v>
      </c>
    </row>
    <row r="623" spans="1:9" ht="12.75">
      <c r="A623" s="294">
        <v>86</v>
      </c>
      <c r="B623" s="253">
        <v>2312</v>
      </c>
      <c r="C623" s="5">
        <v>0</v>
      </c>
      <c r="D623" s="91">
        <v>52</v>
      </c>
      <c r="E623" s="292">
        <v>3.239</v>
      </c>
      <c r="F623" s="300">
        <v>0</v>
      </c>
      <c r="G623" s="303">
        <v>1</v>
      </c>
      <c r="H623" s="300">
        <v>0</v>
      </c>
      <c r="I623" s="303">
        <v>0</v>
      </c>
    </row>
    <row r="624" spans="1:9" ht="12.75">
      <c r="A624" s="294">
        <v>88</v>
      </c>
      <c r="B624" s="253">
        <v>3779</v>
      </c>
      <c r="C624" s="5">
        <v>0</v>
      </c>
      <c r="D624" s="91">
        <v>51</v>
      </c>
      <c r="E624" s="292">
        <v>3.257</v>
      </c>
      <c r="F624" s="300">
        <v>0</v>
      </c>
      <c r="G624" s="303">
        <v>1</v>
      </c>
      <c r="H624" s="300">
        <v>0</v>
      </c>
      <c r="I624" s="303">
        <v>0</v>
      </c>
    </row>
    <row r="625" spans="1:9" ht="12.75">
      <c r="A625" s="294">
        <v>89</v>
      </c>
      <c r="B625" s="253">
        <v>3143</v>
      </c>
      <c r="C625" s="5">
        <v>1</v>
      </c>
      <c r="D625" s="91">
        <v>54</v>
      </c>
      <c r="E625" s="292">
        <v>3.259</v>
      </c>
      <c r="F625" s="300">
        <v>0</v>
      </c>
      <c r="G625" s="303">
        <v>1</v>
      </c>
      <c r="H625" s="300">
        <v>0</v>
      </c>
      <c r="I625" s="303">
        <v>0</v>
      </c>
    </row>
    <row r="626" spans="1:9" ht="12.75">
      <c r="A626" s="294">
        <v>90</v>
      </c>
      <c r="B626" s="253">
        <v>2884</v>
      </c>
      <c r="C626" s="5">
        <v>0</v>
      </c>
      <c r="D626" s="91">
        <v>53</v>
      </c>
      <c r="E626" s="292">
        <v>3.219</v>
      </c>
      <c r="F626" s="300">
        <v>0</v>
      </c>
      <c r="G626" s="303">
        <v>1</v>
      </c>
      <c r="H626" s="300">
        <v>0</v>
      </c>
      <c r="I626" s="303">
        <v>0</v>
      </c>
    </row>
    <row r="627" spans="1:9" ht="12.75">
      <c r="A627" s="294">
        <v>91</v>
      </c>
      <c r="B627" s="253">
        <v>3369</v>
      </c>
      <c r="C627" s="5">
        <v>1</v>
      </c>
      <c r="D627" s="91">
        <v>54</v>
      </c>
      <c r="E627" s="292">
        <v>3.346</v>
      </c>
      <c r="F627" s="300">
        <v>0</v>
      </c>
      <c r="G627" s="303">
        <v>1</v>
      </c>
      <c r="H627" s="300">
        <v>0</v>
      </c>
      <c r="I627" s="303">
        <v>0</v>
      </c>
    </row>
    <row r="628" spans="1:9" ht="12.75">
      <c r="A628" s="294">
        <v>92</v>
      </c>
      <c r="B628" s="253">
        <v>1230</v>
      </c>
      <c r="C628" s="5">
        <v>0</v>
      </c>
      <c r="D628" s="91">
        <v>52</v>
      </c>
      <c r="E628" s="292">
        <v>3.342</v>
      </c>
      <c r="F628" s="300">
        <v>0</v>
      </c>
      <c r="G628" s="303">
        <v>1</v>
      </c>
      <c r="H628" s="300">
        <v>0</v>
      </c>
      <c r="I628" s="303">
        <v>0</v>
      </c>
    </row>
    <row r="629" spans="1:9" ht="12.75">
      <c r="A629" s="294">
        <v>102</v>
      </c>
      <c r="B629" s="253">
        <v>4526</v>
      </c>
      <c r="C629" s="5">
        <v>0</v>
      </c>
      <c r="D629" s="91">
        <v>51</v>
      </c>
      <c r="E629" s="292">
        <v>3.182</v>
      </c>
      <c r="F629" s="300">
        <v>0</v>
      </c>
      <c r="G629" s="303">
        <v>1</v>
      </c>
      <c r="H629" s="300">
        <v>0</v>
      </c>
      <c r="I629" s="303">
        <v>0</v>
      </c>
    </row>
    <row r="630" spans="1:9" ht="12.75">
      <c r="A630" s="294">
        <v>109</v>
      </c>
      <c r="B630" s="253">
        <v>285</v>
      </c>
      <c r="C630" s="5">
        <v>0</v>
      </c>
      <c r="D630" s="91">
        <v>55</v>
      </c>
      <c r="E630" s="292">
        <v>3.313</v>
      </c>
      <c r="F630" s="300">
        <v>0</v>
      </c>
      <c r="G630" s="303">
        <v>1</v>
      </c>
      <c r="H630" s="300">
        <v>0</v>
      </c>
      <c r="I630" s="303">
        <v>0</v>
      </c>
    </row>
    <row r="631" spans="1:9" ht="12.75">
      <c r="A631" s="294">
        <v>111</v>
      </c>
      <c r="B631" s="253">
        <v>811</v>
      </c>
      <c r="C631" s="5">
        <v>1</v>
      </c>
      <c r="D631" s="91">
        <v>50</v>
      </c>
      <c r="E631" s="292">
        <v>3.432</v>
      </c>
      <c r="F631" s="300">
        <v>0</v>
      </c>
      <c r="G631" s="303">
        <v>1</v>
      </c>
      <c r="H631" s="300">
        <v>0</v>
      </c>
      <c r="I631" s="303">
        <v>0</v>
      </c>
    </row>
    <row r="632" spans="1:9" ht="12.75">
      <c r="A632" s="294">
        <v>113</v>
      </c>
      <c r="B632" s="253">
        <v>1695</v>
      </c>
      <c r="C632" s="5">
        <v>1</v>
      </c>
      <c r="D632" s="91">
        <v>55</v>
      </c>
      <c r="E632" s="292">
        <v>3.071</v>
      </c>
      <c r="F632" s="300">
        <v>0</v>
      </c>
      <c r="G632" s="303">
        <v>1</v>
      </c>
      <c r="H632" s="300">
        <v>0</v>
      </c>
      <c r="I632" s="303">
        <v>0</v>
      </c>
    </row>
    <row r="633" spans="1:9" ht="12.75">
      <c r="A633" s="294">
        <v>115</v>
      </c>
      <c r="B633" s="253">
        <v>4256</v>
      </c>
      <c r="C633" s="5">
        <v>1</v>
      </c>
      <c r="D633" s="91">
        <v>52</v>
      </c>
      <c r="E633" s="292">
        <v>3.234</v>
      </c>
      <c r="F633" s="300">
        <v>0</v>
      </c>
      <c r="G633" s="303">
        <v>1</v>
      </c>
      <c r="H633" s="300">
        <v>0</v>
      </c>
      <c r="I633" s="303">
        <v>0</v>
      </c>
    </row>
    <row r="634" spans="1:9" ht="12.75">
      <c r="A634" s="294">
        <v>120</v>
      </c>
      <c r="B634" s="253">
        <v>2111</v>
      </c>
      <c r="C634" s="5">
        <v>1</v>
      </c>
      <c r="D634" s="91">
        <v>52</v>
      </c>
      <c r="E634" s="292">
        <v>3.334</v>
      </c>
      <c r="F634" s="300">
        <v>0</v>
      </c>
      <c r="G634" s="303">
        <v>1</v>
      </c>
      <c r="H634" s="300">
        <v>0</v>
      </c>
      <c r="I634" s="303">
        <v>0</v>
      </c>
    </row>
    <row r="635" spans="1:9" ht="12.75">
      <c r="A635" s="294">
        <v>124</v>
      </c>
      <c r="B635" s="253">
        <v>2081</v>
      </c>
      <c r="C635" s="5">
        <v>0</v>
      </c>
      <c r="D635" s="91">
        <v>53</v>
      </c>
      <c r="E635" s="292">
        <v>3.17</v>
      </c>
      <c r="F635" s="300">
        <v>0</v>
      </c>
      <c r="G635" s="303">
        <v>1</v>
      </c>
      <c r="H635" s="300">
        <v>0</v>
      </c>
      <c r="I635" s="303">
        <v>0</v>
      </c>
    </row>
    <row r="636" spans="1:9" ht="12.75">
      <c r="A636" s="294">
        <v>127</v>
      </c>
      <c r="B636" s="253">
        <v>2708</v>
      </c>
      <c r="C636" s="5">
        <v>1</v>
      </c>
      <c r="D636" s="91">
        <v>55</v>
      </c>
      <c r="E636" s="292">
        <v>3.089</v>
      </c>
      <c r="F636" s="300">
        <v>0</v>
      </c>
      <c r="G636" s="303">
        <v>1</v>
      </c>
      <c r="H636" s="300">
        <v>0</v>
      </c>
      <c r="I636" s="303">
        <v>0</v>
      </c>
    </row>
    <row r="637" spans="1:9" ht="12.75">
      <c r="A637" s="294">
        <v>128</v>
      </c>
      <c r="B637" s="253">
        <v>711</v>
      </c>
      <c r="C637" s="5">
        <v>1</v>
      </c>
      <c r="D637" s="91">
        <v>50</v>
      </c>
      <c r="E637" s="292">
        <v>3.459</v>
      </c>
      <c r="F637" s="300">
        <v>0</v>
      </c>
      <c r="G637" s="303">
        <v>1</v>
      </c>
      <c r="H637" s="300">
        <v>0</v>
      </c>
      <c r="I637" s="303">
        <v>0</v>
      </c>
    </row>
    <row r="638" spans="1:9" ht="12.75">
      <c r="A638" s="294">
        <v>129</v>
      </c>
      <c r="B638" s="253">
        <v>3332</v>
      </c>
      <c r="C638" s="5">
        <v>0</v>
      </c>
      <c r="D638" s="91">
        <v>55</v>
      </c>
      <c r="E638" s="292">
        <v>3.472</v>
      </c>
      <c r="F638" s="300">
        <v>0</v>
      </c>
      <c r="G638" s="303">
        <v>1</v>
      </c>
      <c r="H638" s="300">
        <v>0</v>
      </c>
      <c r="I638" s="303">
        <v>0</v>
      </c>
    </row>
    <row r="639" spans="1:9" ht="12.75">
      <c r="A639" s="294">
        <v>131</v>
      </c>
      <c r="B639" s="253">
        <v>3001</v>
      </c>
      <c r="C639" s="5">
        <v>1</v>
      </c>
      <c r="D639" s="91">
        <v>53</v>
      </c>
      <c r="E639" s="292">
        <v>2.177</v>
      </c>
      <c r="F639" s="300">
        <v>0</v>
      </c>
      <c r="G639" s="303">
        <v>1</v>
      </c>
      <c r="H639" s="300">
        <v>0</v>
      </c>
      <c r="I639" s="303">
        <v>0</v>
      </c>
    </row>
    <row r="640" spans="1:9" ht="12.75">
      <c r="A640" s="294">
        <v>138</v>
      </c>
      <c r="B640" s="253">
        <v>4282</v>
      </c>
      <c r="C640" s="5">
        <v>1</v>
      </c>
      <c r="D640" s="91">
        <v>53</v>
      </c>
      <c r="E640" s="292">
        <v>3.314</v>
      </c>
      <c r="F640" s="300">
        <v>0</v>
      </c>
      <c r="G640" s="303">
        <v>1</v>
      </c>
      <c r="H640" s="300">
        <v>0</v>
      </c>
      <c r="I640" s="303">
        <v>0</v>
      </c>
    </row>
    <row r="641" spans="1:9" ht="12.75">
      <c r="A641" s="294">
        <v>140</v>
      </c>
      <c r="B641" s="253">
        <v>2050</v>
      </c>
      <c r="C641" s="5">
        <v>1</v>
      </c>
      <c r="D641" s="91">
        <v>52</v>
      </c>
      <c r="E641" s="292">
        <v>3.323</v>
      </c>
      <c r="F641" s="300">
        <v>0</v>
      </c>
      <c r="G641" s="303">
        <v>1</v>
      </c>
      <c r="H641" s="300">
        <v>0</v>
      </c>
      <c r="I641" s="303">
        <v>0</v>
      </c>
    </row>
    <row r="642" spans="1:9" ht="12.75">
      <c r="A642" s="294">
        <v>146</v>
      </c>
      <c r="B642" s="253">
        <v>4506</v>
      </c>
      <c r="C642" s="5">
        <v>1</v>
      </c>
      <c r="D642" s="91">
        <v>52</v>
      </c>
      <c r="E642" s="292">
        <v>3.355</v>
      </c>
      <c r="F642" s="300">
        <v>0</v>
      </c>
      <c r="G642" s="303">
        <v>1</v>
      </c>
      <c r="H642" s="300">
        <v>0</v>
      </c>
      <c r="I642" s="303">
        <v>0</v>
      </c>
    </row>
    <row r="643" spans="1:9" ht="12.75">
      <c r="A643" s="294">
        <v>147</v>
      </c>
      <c r="B643" s="253">
        <v>837</v>
      </c>
      <c r="C643" s="5">
        <v>0</v>
      </c>
      <c r="D643" s="91">
        <v>53</v>
      </c>
      <c r="E643" s="292">
        <v>3.095</v>
      </c>
      <c r="F643" s="300">
        <v>0</v>
      </c>
      <c r="G643" s="303">
        <v>1</v>
      </c>
      <c r="H643" s="300">
        <v>0</v>
      </c>
      <c r="I643" s="303">
        <v>0</v>
      </c>
    </row>
    <row r="644" spans="1:9" ht="12.75">
      <c r="A644" s="294">
        <v>149</v>
      </c>
      <c r="B644" s="253">
        <v>591</v>
      </c>
      <c r="C644" s="5">
        <v>1</v>
      </c>
      <c r="D644" s="91">
        <v>52</v>
      </c>
      <c r="E644" s="292">
        <v>3.344</v>
      </c>
      <c r="F644" s="300">
        <v>0</v>
      </c>
      <c r="G644" s="303">
        <v>1</v>
      </c>
      <c r="H644" s="300">
        <v>0</v>
      </c>
      <c r="I644" s="303">
        <v>0</v>
      </c>
    </row>
    <row r="645" spans="1:9" ht="12.75">
      <c r="A645" s="294">
        <v>152</v>
      </c>
      <c r="B645" s="253">
        <v>4320</v>
      </c>
      <c r="C645" s="5">
        <v>0</v>
      </c>
      <c r="D645" s="91">
        <v>52</v>
      </c>
      <c r="E645" s="292">
        <v>3.507</v>
      </c>
      <c r="F645" s="300">
        <v>0</v>
      </c>
      <c r="G645" s="303">
        <v>1</v>
      </c>
      <c r="H645" s="300">
        <v>0</v>
      </c>
      <c r="I645" s="303">
        <v>0</v>
      </c>
    </row>
    <row r="646" spans="1:9" ht="12.75">
      <c r="A646" s="294">
        <v>157</v>
      </c>
      <c r="B646" s="253">
        <v>3564</v>
      </c>
      <c r="C646" s="5">
        <v>0</v>
      </c>
      <c r="D646" s="91">
        <v>54</v>
      </c>
      <c r="E646" s="292">
        <v>3.39</v>
      </c>
      <c r="F646" s="300">
        <v>0</v>
      </c>
      <c r="G646" s="303">
        <v>1</v>
      </c>
      <c r="H646" s="300">
        <v>0</v>
      </c>
      <c r="I646" s="303">
        <v>0</v>
      </c>
    </row>
    <row r="647" spans="1:9" ht="12.75">
      <c r="A647" s="294">
        <v>161</v>
      </c>
      <c r="B647" s="253">
        <v>1850</v>
      </c>
      <c r="C647" s="5">
        <v>0</v>
      </c>
      <c r="D647" s="91">
        <v>53</v>
      </c>
      <c r="E647" s="292">
        <v>3.416</v>
      </c>
      <c r="F647" s="300">
        <v>0</v>
      </c>
      <c r="G647" s="303">
        <v>1</v>
      </c>
      <c r="H647" s="300">
        <v>0</v>
      </c>
      <c r="I647" s="303">
        <v>0</v>
      </c>
    </row>
    <row r="648" spans="1:9" ht="12.75">
      <c r="A648" s="294">
        <v>165</v>
      </c>
      <c r="B648" s="253">
        <v>3991</v>
      </c>
      <c r="C648" s="5">
        <v>1</v>
      </c>
      <c r="D648" s="91">
        <v>54</v>
      </c>
      <c r="E648" s="292">
        <v>3.31</v>
      </c>
      <c r="F648" s="300">
        <v>0</v>
      </c>
      <c r="G648" s="303">
        <v>1</v>
      </c>
      <c r="H648" s="300">
        <v>0</v>
      </c>
      <c r="I648" s="303">
        <v>0</v>
      </c>
    </row>
    <row r="649" spans="1:9" ht="12.75">
      <c r="A649" s="294">
        <v>166</v>
      </c>
      <c r="B649" s="253">
        <v>4338</v>
      </c>
      <c r="C649" s="5">
        <v>1</v>
      </c>
      <c r="D649" s="91">
        <v>52</v>
      </c>
      <c r="E649" s="292">
        <v>3.319</v>
      </c>
      <c r="F649" s="300">
        <v>0</v>
      </c>
      <c r="G649" s="303">
        <v>1</v>
      </c>
      <c r="H649" s="300">
        <v>0</v>
      </c>
      <c r="I649" s="303">
        <v>0</v>
      </c>
    </row>
    <row r="650" spans="1:9" ht="12.75">
      <c r="A650" s="294">
        <v>168</v>
      </c>
      <c r="B650" s="253">
        <v>4082</v>
      </c>
      <c r="C650" s="5">
        <v>0</v>
      </c>
      <c r="D650" s="91">
        <v>52</v>
      </c>
      <c r="E650" s="292">
        <v>3.366</v>
      </c>
      <c r="F650" s="300">
        <v>0</v>
      </c>
      <c r="G650" s="303">
        <v>1</v>
      </c>
      <c r="H650" s="300">
        <v>0</v>
      </c>
      <c r="I650" s="303">
        <v>0</v>
      </c>
    </row>
    <row r="651" spans="1:9" ht="12.75">
      <c r="A651" s="294">
        <v>169</v>
      </c>
      <c r="B651" s="253">
        <v>2017</v>
      </c>
      <c r="C651" s="5">
        <v>0</v>
      </c>
      <c r="D651" s="91">
        <v>54</v>
      </c>
      <c r="E651" s="292">
        <v>3.368</v>
      </c>
      <c r="F651" s="300">
        <v>0</v>
      </c>
      <c r="G651" s="303">
        <v>1</v>
      </c>
      <c r="H651" s="300">
        <v>0</v>
      </c>
      <c r="I651" s="303">
        <v>0</v>
      </c>
    </row>
    <row r="652" spans="1:9" ht="12.75">
      <c r="A652" s="294">
        <v>170</v>
      </c>
      <c r="B652" s="253">
        <v>3738</v>
      </c>
      <c r="C652" s="5">
        <v>1</v>
      </c>
      <c r="D652" s="91">
        <v>52</v>
      </c>
      <c r="E652" s="292">
        <v>3.321</v>
      </c>
      <c r="F652" s="300">
        <v>0</v>
      </c>
      <c r="G652" s="303">
        <v>1</v>
      </c>
      <c r="H652" s="300">
        <v>0</v>
      </c>
      <c r="I652" s="303">
        <v>0</v>
      </c>
    </row>
    <row r="653" spans="1:9" ht="12.75">
      <c r="A653" s="294">
        <v>181</v>
      </c>
      <c r="B653" s="253">
        <v>3565</v>
      </c>
      <c r="C653" s="5">
        <v>1</v>
      </c>
      <c r="D653" s="91">
        <v>54</v>
      </c>
      <c r="E653" s="292">
        <v>3.228</v>
      </c>
      <c r="F653" s="300">
        <v>0</v>
      </c>
      <c r="G653" s="303">
        <v>1</v>
      </c>
      <c r="H653" s="300">
        <v>0</v>
      </c>
      <c r="I653" s="303">
        <v>0</v>
      </c>
    </row>
    <row r="654" spans="1:9" ht="12.75">
      <c r="A654" s="294">
        <v>185</v>
      </c>
      <c r="B654" s="253">
        <v>1018</v>
      </c>
      <c r="C654" s="5">
        <v>0</v>
      </c>
      <c r="D654" s="91">
        <v>53</v>
      </c>
      <c r="E654" s="292">
        <v>3.334</v>
      </c>
      <c r="F654" s="300">
        <v>0</v>
      </c>
      <c r="G654" s="303">
        <v>1</v>
      </c>
      <c r="H654" s="300">
        <v>0</v>
      </c>
      <c r="I654" s="303">
        <v>0</v>
      </c>
    </row>
    <row r="655" spans="1:9" ht="12.75">
      <c r="A655" s="294">
        <v>186</v>
      </c>
      <c r="B655" s="253">
        <v>4420</v>
      </c>
      <c r="C655" s="5">
        <v>0</v>
      </c>
      <c r="D655" s="91">
        <v>52</v>
      </c>
      <c r="E655" s="292">
        <v>3.359</v>
      </c>
      <c r="F655" s="300">
        <v>0</v>
      </c>
      <c r="G655" s="303">
        <v>1</v>
      </c>
      <c r="H655" s="300">
        <v>0</v>
      </c>
      <c r="I655" s="303">
        <v>0</v>
      </c>
    </row>
    <row r="656" spans="1:9" ht="12.75">
      <c r="A656" s="294">
        <v>187</v>
      </c>
      <c r="B656" s="253">
        <v>2622</v>
      </c>
      <c r="C656" s="5">
        <v>0</v>
      </c>
      <c r="D656" s="91">
        <v>55</v>
      </c>
      <c r="E656" s="292">
        <v>3.356</v>
      </c>
      <c r="F656" s="300">
        <v>0</v>
      </c>
      <c r="G656" s="303">
        <v>1</v>
      </c>
      <c r="H656" s="300">
        <v>0</v>
      </c>
      <c r="I656" s="303">
        <v>0</v>
      </c>
    </row>
    <row r="657" spans="1:9" ht="12.75">
      <c r="A657" s="294">
        <v>191</v>
      </c>
      <c r="B657" s="253">
        <v>4025</v>
      </c>
      <c r="C657" s="5">
        <v>0</v>
      </c>
      <c r="D657" s="91">
        <v>53</v>
      </c>
      <c r="E657" s="292">
        <v>3.192</v>
      </c>
      <c r="F657" s="300">
        <v>0</v>
      </c>
      <c r="G657" s="303">
        <v>1</v>
      </c>
      <c r="H657" s="300">
        <v>0</v>
      </c>
      <c r="I657" s="303">
        <v>0</v>
      </c>
    </row>
    <row r="658" spans="1:9" ht="12.75">
      <c r="A658" s="294">
        <v>192</v>
      </c>
      <c r="B658" s="253">
        <v>4269</v>
      </c>
      <c r="C658" s="5">
        <v>1</v>
      </c>
      <c r="D658" s="91">
        <v>52</v>
      </c>
      <c r="E658" s="292">
        <v>3.23</v>
      </c>
      <c r="F658" s="300">
        <v>0</v>
      </c>
      <c r="G658" s="303">
        <v>1</v>
      </c>
      <c r="H658" s="300">
        <v>0</v>
      </c>
      <c r="I658" s="303">
        <v>0</v>
      </c>
    </row>
    <row r="659" spans="1:9" ht="12.75">
      <c r="A659" s="294">
        <v>195</v>
      </c>
      <c r="B659" s="253">
        <v>201</v>
      </c>
      <c r="C659" s="5">
        <v>0</v>
      </c>
      <c r="D659" s="91">
        <v>52</v>
      </c>
      <c r="E659" s="292">
        <v>3.764</v>
      </c>
      <c r="F659" s="300">
        <v>0</v>
      </c>
      <c r="G659" s="303">
        <v>1</v>
      </c>
      <c r="H659" s="300">
        <v>0</v>
      </c>
      <c r="I659" s="303">
        <v>0</v>
      </c>
    </row>
    <row r="660" spans="1:9" ht="12.75">
      <c r="A660" s="294">
        <v>196</v>
      </c>
      <c r="B660" s="253">
        <v>1991</v>
      </c>
      <c r="C660" s="5">
        <v>0</v>
      </c>
      <c r="D660" s="91">
        <v>53</v>
      </c>
      <c r="E660" s="292">
        <v>3.309</v>
      </c>
      <c r="F660" s="300">
        <v>0</v>
      </c>
      <c r="G660" s="303">
        <v>1</v>
      </c>
      <c r="H660" s="300">
        <v>0</v>
      </c>
      <c r="I660" s="303">
        <v>0</v>
      </c>
    </row>
    <row r="661" spans="1:9" ht="12.75">
      <c r="A661" s="294">
        <v>198</v>
      </c>
      <c r="B661" s="253">
        <v>3215</v>
      </c>
      <c r="C661" s="5">
        <v>0</v>
      </c>
      <c r="D661" s="91">
        <v>53</v>
      </c>
      <c r="E661" s="292">
        <v>3.152</v>
      </c>
      <c r="F661" s="300">
        <v>0</v>
      </c>
      <c r="G661" s="303">
        <v>1</v>
      </c>
      <c r="H661" s="300">
        <v>0</v>
      </c>
      <c r="I661" s="303">
        <v>0</v>
      </c>
    </row>
    <row r="662" spans="1:9" ht="12.75">
      <c r="A662" s="294">
        <v>206</v>
      </c>
      <c r="B662" s="253">
        <v>2918</v>
      </c>
      <c r="C662" s="5">
        <v>1</v>
      </c>
      <c r="D662" s="91">
        <v>52</v>
      </c>
      <c r="E662" s="292">
        <v>3.338</v>
      </c>
      <c r="F662" s="300">
        <v>0</v>
      </c>
      <c r="G662" s="303">
        <v>1</v>
      </c>
      <c r="H662" s="300">
        <v>0</v>
      </c>
      <c r="I662" s="303">
        <v>0</v>
      </c>
    </row>
    <row r="663" spans="1:9" ht="12.75">
      <c r="A663" s="294">
        <v>212</v>
      </c>
      <c r="B663" s="253">
        <v>810</v>
      </c>
      <c r="C663" s="5">
        <v>1</v>
      </c>
      <c r="D663" s="91">
        <v>54</v>
      </c>
      <c r="E663" s="292">
        <v>3.329</v>
      </c>
      <c r="F663" s="300">
        <v>0</v>
      </c>
      <c r="G663" s="303">
        <v>1</v>
      </c>
      <c r="H663" s="300">
        <v>0</v>
      </c>
      <c r="I663" s="303">
        <v>0</v>
      </c>
    </row>
    <row r="664" spans="1:9" ht="12.75">
      <c r="A664" s="294">
        <v>213</v>
      </c>
      <c r="B664" s="253">
        <v>450</v>
      </c>
      <c r="C664" s="5">
        <v>1</v>
      </c>
      <c r="D664" s="91">
        <v>52</v>
      </c>
      <c r="E664" s="292">
        <v>3.399</v>
      </c>
      <c r="F664" s="300">
        <v>0</v>
      </c>
      <c r="G664" s="303">
        <v>1</v>
      </c>
      <c r="H664" s="300">
        <v>0</v>
      </c>
      <c r="I664" s="303">
        <v>0</v>
      </c>
    </row>
    <row r="665" spans="1:9" ht="12.75">
      <c r="A665" s="294">
        <v>214</v>
      </c>
      <c r="B665" s="253">
        <v>3364</v>
      </c>
      <c r="C665" s="5">
        <v>1</v>
      </c>
      <c r="D665" s="91">
        <v>53</v>
      </c>
      <c r="E665" s="292">
        <v>3.414</v>
      </c>
      <c r="F665" s="300">
        <v>0</v>
      </c>
      <c r="G665" s="303">
        <v>1</v>
      </c>
      <c r="H665" s="300">
        <v>0</v>
      </c>
      <c r="I665" s="303">
        <v>0</v>
      </c>
    </row>
    <row r="666" spans="1:9" ht="12.75">
      <c r="A666" s="294">
        <v>216</v>
      </c>
      <c r="B666" s="253">
        <v>3794</v>
      </c>
      <c r="C666" s="5">
        <v>1</v>
      </c>
      <c r="D666" s="91">
        <v>56</v>
      </c>
      <c r="E666" s="292">
        <v>3.349</v>
      </c>
      <c r="F666" s="300">
        <v>0</v>
      </c>
      <c r="G666" s="303">
        <v>1</v>
      </c>
      <c r="H666" s="300">
        <v>0</v>
      </c>
      <c r="I666" s="303">
        <v>0</v>
      </c>
    </row>
    <row r="667" spans="1:9" ht="12.75">
      <c r="A667" s="294">
        <v>218</v>
      </c>
      <c r="B667" s="253">
        <v>1</v>
      </c>
      <c r="C667" s="5">
        <v>1</v>
      </c>
      <c r="D667" s="91">
        <v>53</v>
      </c>
      <c r="E667" s="292">
        <v>2.622</v>
      </c>
      <c r="F667" s="300">
        <v>0</v>
      </c>
      <c r="G667" s="303">
        <v>1</v>
      </c>
      <c r="H667" s="300">
        <v>0</v>
      </c>
      <c r="I667" s="303">
        <v>0</v>
      </c>
    </row>
    <row r="668" spans="1:9" ht="12.75">
      <c r="A668" s="294">
        <v>220</v>
      </c>
      <c r="B668" s="253">
        <v>1291</v>
      </c>
      <c r="C668" s="5">
        <v>1</v>
      </c>
      <c r="D668" s="91">
        <v>54</v>
      </c>
      <c r="E668" s="292">
        <v>3.221</v>
      </c>
      <c r="F668" s="300">
        <v>0</v>
      </c>
      <c r="G668" s="303">
        <v>1</v>
      </c>
      <c r="H668" s="300">
        <v>0</v>
      </c>
      <c r="I668" s="303">
        <v>0</v>
      </c>
    </row>
    <row r="669" spans="1:9" ht="12.75">
      <c r="A669" s="294">
        <v>230</v>
      </c>
      <c r="B669" s="253">
        <v>2848</v>
      </c>
      <c r="C669" s="5">
        <v>0</v>
      </c>
      <c r="D669" s="91">
        <v>51</v>
      </c>
      <c r="E669" s="292">
        <v>3.335</v>
      </c>
      <c r="F669" s="300">
        <v>0</v>
      </c>
      <c r="G669" s="303">
        <v>1</v>
      </c>
      <c r="H669" s="300">
        <v>0</v>
      </c>
      <c r="I669" s="303">
        <v>0</v>
      </c>
    </row>
    <row r="670" spans="1:9" ht="12.75">
      <c r="A670" s="294">
        <v>233</v>
      </c>
      <c r="B670" s="253">
        <v>1468</v>
      </c>
      <c r="C670" s="5">
        <v>0</v>
      </c>
      <c r="D670" s="91">
        <v>53</v>
      </c>
      <c r="E670" s="292">
        <v>3.193</v>
      </c>
      <c r="F670" s="300">
        <v>0</v>
      </c>
      <c r="G670" s="303">
        <v>1</v>
      </c>
      <c r="H670" s="300">
        <v>0</v>
      </c>
      <c r="I670" s="303">
        <v>0</v>
      </c>
    </row>
    <row r="671" spans="1:9" ht="12.75">
      <c r="A671" s="294">
        <v>241</v>
      </c>
      <c r="B671" s="253">
        <v>4196</v>
      </c>
      <c r="C671" s="5">
        <v>0</v>
      </c>
      <c r="D671" s="91">
        <v>54</v>
      </c>
      <c r="E671" s="292">
        <v>3.007</v>
      </c>
      <c r="F671" s="300">
        <v>0</v>
      </c>
      <c r="G671" s="303">
        <v>1</v>
      </c>
      <c r="H671" s="300">
        <v>0</v>
      </c>
      <c r="I671" s="303">
        <v>0</v>
      </c>
    </row>
    <row r="672" spans="1:9" ht="12.75">
      <c r="A672" s="294">
        <v>245</v>
      </c>
      <c r="B672" s="253">
        <v>3111</v>
      </c>
      <c r="C672" s="5">
        <v>0</v>
      </c>
      <c r="D672" s="91">
        <v>51</v>
      </c>
      <c r="E672" s="292">
        <v>3.344</v>
      </c>
      <c r="F672" s="300">
        <v>0</v>
      </c>
      <c r="G672" s="303">
        <v>1</v>
      </c>
      <c r="H672" s="300">
        <v>0</v>
      </c>
      <c r="I672" s="303">
        <v>0</v>
      </c>
    </row>
    <row r="673" spans="1:9" ht="12.75">
      <c r="A673" s="294">
        <v>250</v>
      </c>
      <c r="B673" s="253">
        <v>2181</v>
      </c>
      <c r="C673" s="5">
        <v>1</v>
      </c>
      <c r="D673" s="91">
        <v>54</v>
      </c>
      <c r="E673" s="292">
        <v>3.134</v>
      </c>
      <c r="F673" s="300">
        <v>0</v>
      </c>
      <c r="G673" s="303">
        <v>1</v>
      </c>
      <c r="H673" s="300">
        <v>0</v>
      </c>
      <c r="I673" s="303">
        <v>0</v>
      </c>
    </row>
    <row r="674" spans="1:9" ht="12.75">
      <c r="A674" s="294">
        <v>253</v>
      </c>
      <c r="B674" s="253">
        <v>3963</v>
      </c>
      <c r="C674" s="5">
        <v>0</v>
      </c>
      <c r="D674" s="91">
        <v>55</v>
      </c>
      <c r="E674" s="292">
        <v>3.222</v>
      </c>
      <c r="F674" s="300">
        <v>0</v>
      </c>
      <c r="G674" s="303">
        <v>1</v>
      </c>
      <c r="H674" s="300">
        <v>0</v>
      </c>
      <c r="I674" s="303">
        <v>0</v>
      </c>
    </row>
    <row r="675" spans="1:9" ht="12.75">
      <c r="A675" s="294">
        <v>257</v>
      </c>
      <c r="B675" s="253">
        <v>3989</v>
      </c>
      <c r="C675" s="5">
        <v>1</v>
      </c>
      <c r="D675" s="91">
        <v>50</v>
      </c>
      <c r="E675" s="292">
        <v>3.312</v>
      </c>
      <c r="F675" s="300">
        <v>0</v>
      </c>
      <c r="G675" s="303">
        <v>1</v>
      </c>
      <c r="H675" s="300">
        <v>0</v>
      </c>
      <c r="I675" s="303">
        <v>0</v>
      </c>
    </row>
    <row r="676" spans="1:9" ht="12.75">
      <c r="A676" s="294">
        <v>264</v>
      </c>
      <c r="B676" s="253">
        <v>4218</v>
      </c>
      <c r="C676" s="5">
        <v>0</v>
      </c>
      <c r="D676" s="91">
        <v>52</v>
      </c>
      <c r="E676" s="292">
        <v>3.344</v>
      </c>
      <c r="F676" s="300">
        <v>0</v>
      </c>
      <c r="G676" s="303">
        <v>1</v>
      </c>
      <c r="H676" s="300">
        <v>0</v>
      </c>
      <c r="I676" s="303">
        <v>0</v>
      </c>
    </row>
    <row r="677" spans="1:9" ht="12.75">
      <c r="A677" s="296">
        <v>13</v>
      </c>
      <c r="B677" s="257">
        <v>3710</v>
      </c>
      <c r="C677" s="29">
        <v>1</v>
      </c>
      <c r="D677" s="115">
        <v>52</v>
      </c>
      <c r="E677" s="297">
        <v>3.586</v>
      </c>
      <c r="F677" s="301">
        <v>0</v>
      </c>
      <c r="G677" s="304">
        <v>0</v>
      </c>
      <c r="H677" s="301">
        <v>1</v>
      </c>
      <c r="I677" s="304">
        <v>0</v>
      </c>
    </row>
    <row r="678" spans="1:9" ht="12.75">
      <c r="A678" s="296">
        <v>18</v>
      </c>
      <c r="B678" s="257">
        <v>3626</v>
      </c>
      <c r="C678" s="29">
        <v>1</v>
      </c>
      <c r="D678" s="115">
        <v>54</v>
      </c>
      <c r="E678" s="297">
        <v>3.394</v>
      </c>
      <c r="F678" s="301">
        <v>0</v>
      </c>
      <c r="G678" s="304">
        <v>0</v>
      </c>
      <c r="H678" s="301">
        <v>1</v>
      </c>
      <c r="I678" s="304">
        <v>0</v>
      </c>
    </row>
    <row r="679" spans="1:9" ht="12.75">
      <c r="A679" s="296">
        <v>20</v>
      </c>
      <c r="B679" s="257">
        <v>1207</v>
      </c>
      <c r="C679" s="29">
        <v>1</v>
      </c>
      <c r="D679" s="115">
        <v>54</v>
      </c>
      <c r="E679" s="297">
        <v>3.751</v>
      </c>
      <c r="F679" s="301">
        <v>0</v>
      </c>
      <c r="G679" s="304">
        <v>0</v>
      </c>
      <c r="H679" s="301">
        <v>1</v>
      </c>
      <c r="I679" s="304">
        <v>0</v>
      </c>
    </row>
    <row r="680" spans="1:9" ht="12.75">
      <c r="A680" s="296">
        <v>33</v>
      </c>
      <c r="B680" s="257">
        <v>3950</v>
      </c>
      <c r="C680" s="29">
        <v>1</v>
      </c>
      <c r="D680" s="115">
        <v>55</v>
      </c>
      <c r="E680" s="297">
        <v>3.524</v>
      </c>
      <c r="F680" s="301">
        <v>0</v>
      </c>
      <c r="G680" s="304">
        <v>0</v>
      </c>
      <c r="H680" s="301">
        <v>1</v>
      </c>
      <c r="I680" s="304">
        <v>0</v>
      </c>
    </row>
    <row r="681" spans="1:9" ht="12.75">
      <c r="A681" s="296">
        <v>34</v>
      </c>
      <c r="B681" s="257">
        <v>3476</v>
      </c>
      <c r="C681" s="29">
        <v>1</v>
      </c>
      <c r="D681" s="115">
        <v>55</v>
      </c>
      <c r="E681" s="297">
        <v>3.65</v>
      </c>
      <c r="F681" s="301">
        <v>0</v>
      </c>
      <c r="G681" s="304">
        <v>0</v>
      </c>
      <c r="H681" s="301">
        <v>1</v>
      </c>
      <c r="I681" s="304">
        <v>0</v>
      </c>
    </row>
    <row r="682" spans="1:9" ht="12.75">
      <c r="A682" s="296">
        <v>35</v>
      </c>
      <c r="B682" s="257">
        <v>3106</v>
      </c>
      <c r="C682" s="29">
        <v>0</v>
      </c>
      <c r="D682" s="115">
        <v>56</v>
      </c>
      <c r="E682" s="297">
        <v>3.449</v>
      </c>
      <c r="F682" s="301">
        <v>0</v>
      </c>
      <c r="G682" s="304">
        <v>0</v>
      </c>
      <c r="H682" s="301">
        <v>1</v>
      </c>
      <c r="I682" s="304">
        <v>0</v>
      </c>
    </row>
    <row r="683" spans="1:9" ht="12.75">
      <c r="A683" s="296">
        <v>37</v>
      </c>
      <c r="B683" s="257">
        <v>887</v>
      </c>
      <c r="C683" s="29">
        <v>0</v>
      </c>
      <c r="D683" s="115">
        <v>55</v>
      </c>
      <c r="E683" s="297">
        <v>3.553</v>
      </c>
      <c r="F683" s="301">
        <v>0</v>
      </c>
      <c r="G683" s="304">
        <v>0</v>
      </c>
      <c r="H683" s="301">
        <v>1</v>
      </c>
      <c r="I683" s="304">
        <v>0</v>
      </c>
    </row>
    <row r="684" spans="1:9" ht="12.75">
      <c r="A684" s="296">
        <v>40</v>
      </c>
      <c r="B684" s="257">
        <v>3156</v>
      </c>
      <c r="C684" s="29">
        <v>0</v>
      </c>
      <c r="D684" s="115">
        <v>53</v>
      </c>
      <c r="E684" s="297">
        <v>3.747</v>
      </c>
      <c r="F684" s="301">
        <v>0</v>
      </c>
      <c r="G684" s="304">
        <v>0</v>
      </c>
      <c r="H684" s="301">
        <v>1</v>
      </c>
      <c r="I684" s="304">
        <v>0</v>
      </c>
    </row>
    <row r="685" spans="1:9" ht="12.75">
      <c r="A685" s="296">
        <v>43</v>
      </c>
      <c r="B685" s="257">
        <v>2278</v>
      </c>
      <c r="C685" s="29">
        <v>1</v>
      </c>
      <c r="D685" s="115">
        <v>55</v>
      </c>
      <c r="E685" s="297">
        <v>3.654</v>
      </c>
      <c r="F685" s="301">
        <v>0</v>
      </c>
      <c r="G685" s="304">
        <v>0</v>
      </c>
      <c r="H685" s="301">
        <v>1</v>
      </c>
      <c r="I685" s="304">
        <v>0</v>
      </c>
    </row>
    <row r="686" spans="1:9" ht="12.75">
      <c r="A686" s="296">
        <v>45</v>
      </c>
      <c r="B686" s="257">
        <v>3149</v>
      </c>
      <c r="C686" s="29">
        <v>1</v>
      </c>
      <c r="D686" s="115">
        <v>54</v>
      </c>
      <c r="E686" s="297">
        <v>3.541</v>
      </c>
      <c r="F686" s="301">
        <v>0</v>
      </c>
      <c r="G686" s="304">
        <v>0</v>
      </c>
      <c r="H686" s="301">
        <v>1</v>
      </c>
      <c r="I686" s="304">
        <v>0</v>
      </c>
    </row>
    <row r="687" spans="1:9" ht="12.75">
      <c r="A687" s="296">
        <v>46</v>
      </c>
      <c r="B687" s="257">
        <v>1478</v>
      </c>
      <c r="C687" s="29">
        <v>0</v>
      </c>
      <c r="D687" s="115">
        <v>54</v>
      </c>
      <c r="E687" s="297">
        <v>3.593</v>
      </c>
      <c r="F687" s="301">
        <v>0</v>
      </c>
      <c r="G687" s="304">
        <v>0</v>
      </c>
      <c r="H687" s="301">
        <v>1</v>
      </c>
      <c r="I687" s="304">
        <v>0</v>
      </c>
    </row>
    <row r="688" spans="1:9" ht="12.75">
      <c r="A688" s="296">
        <v>50</v>
      </c>
      <c r="B688" s="257">
        <v>3727</v>
      </c>
      <c r="C688" s="29">
        <v>0</v>
      </c>
      <c r="D688" s="115">
        <v>52</v>
      </c>
      <c r="E688" s="297">
        <v>3.753</v>
      </c>
      <c r="F688" s="301">
        <v>0</v>
      </c>
      <c r="G688" s="304">
        <v>0</v>
      </c>
      <c r="H688" s="301">
        <v>1</v>
      </c>
      <c r="I688" s="304">
        <v>0</v>
      </c>
    </row>
    <row r="689" spans="1:9" ht="12.75">
      <c r="A689" s="296">
        <v>52</v>
      </c>
      <c r="B689" s="257">
        <v>980</v>
      </c>
      <c r="C689" s="29">
        <v>0</v>
      </c>
      <c r="D689" s="115">
        <v>52</v>
      </c>
      <c r="E689" s="297">
        <v>3.796</v>
      </c>
      <c r="F689" s="301">
        <v>0</v>
      </c>
      <c r="G689" s="304">
        <v>0</v>
      </c>
      <c r="H689" s="301">
        <v>1</v>
      </c>
      <c r="I689" s="304">
        <v>0</v>
      </c>
    </row>
    <row r="690" spans="1:9" ht="12.75">
      <c r="A690" s="296">
        <v>54</v>
      </c>
      <c r="B690" s="257">
        <v>403</v>
      </c>
      <c r="C690" s="29">
        <v>0</v>
      </c>
      <c r="D690" s="115">
        <v>52</v>
      </c>
      <c r="E690" s="297">
        <v>4.091</v>
      </c>
      <c r="F690" s="301">
        <v>0</v>
      </c>
      <c r="G690" s="304">
        <v>0</v>
      </c>
      <c r="H690" s="301">
        <v>1</v>
      </c>
      <c r="I690" s="304">
        <v>0</v>
      </c>
    </row>
    <row r="691" spans="1:9" ht="12.75">
      <c r="A691" s="296">
        <v>55</v>
      </c>
      <c r="B691" s="257">
        <v>500</v>
      </c>
      <c r="C691" s="29">
        <v>0</v>
      </c>
      <c r="D691" s="115">
        <v>52</v>
      </c>
      <c r="E691" s="297">
        <v>3.558</v>
      </c>
      <c r="F691" s="301">
        <v>0</v>
      </c>
      <c r="G691" s="304">
        <v>0</v>
      </c>
      <c r="H691" s="301">
        <v>1</v>
      </c>
      <c r="I691" s="304">
        <v>0</v>
      </c>
    </row>
    <row r="692" spans="1:9" ht="12.75">
      <c r="A692" s="296">
        <v>56</v>
      </c>
      <c r="B692" s="257">
        <v>3049</v>
      </c>
      <c r="C692" s="29">
        <v>1</v>
      </c>
      <c r="D692" s="115">
        <v>54</v>
      </c>
      <c r="E692" s="297">
        <v>3.592</v>
      </c>
      <c r="F692" s="301">
        <v>0</v>
      </c>
      <c r="G692" s="304">
        <v>0</v>
      </c>
      <c r="H692" s="301">
        <v>1</v>
      </c>
      <c r="I692" s="304">
        <v>0</v>
      </c>
    </row>
    <row r="693" spans="1:9" ht="12.75">
      <c r="A693" s="296">
        <v>59</v>
      </c>
      <c r="B693" s="257">
        <v>4376</v>
      </c>
      <c r="C693" s="29">
        <v>0</v>
      </c>
      <c r="D693" s="115">
        <v>51</v>
      </c>
      <c r="E693" s="297">
        <v>3.504</v>
      </c>
      <c r="F693" s="301">
        <v>0</v>
      </c>
      <c r="G693" s="304">
        <v>0</v>
      </c>
      <c r="H693" s="301">
        <v>1</v>
      </c>
      <c r="I693" s="304">
        <v>0</v>
      </c>
    </row>
    <row r="694" spans="1:9" ht="12.75">
      <c r="A694" s="296">
        <v>62</v>
      </c>
      <c r="B694" s="257">
        <v>4494</v>
      </c>
      <c r="C694" s="29">
        <v>0</v>
      </c>
      <c r="D694" s="115">
        <v>56</v>
      </c>
      <c r="E694" s="297">
        <v>3.374</v>
      </c>
      <c r="F694" s="301">
        <v>0</v>
      </c>
      <c r="G694" s="304">
        <v>0</v>
      </c>
      <c r="H694" s="301">
        <v>1</v>
      </c>
      <c r="I694" s="304">
        <v>0</v>
      </c>
    </row>
    <row r="695" spans="1:9" ht="12.75">
      <c r="A695" s="296">
        <v>64</v>
      </c>
      <c r="B695" s="257">
        <v>3635</v>
      </c>
      <c r="C695" s="29">
        <v>0</v>
      </c>
      <c r="D695" s="115">
        <v>51</v>
      </c>
      <c r="E695" s="297">
        <v>3.572</v>
      </c>
      <c r="F695" s="301">
        <v>0</v>
      </c>
      <c r="G695" s="304">
        <v>0</v>
      </c>
      <c r="H695" s="301">
        <v>1</v>
      </c>
      <c r="I695" s="304">
        <v>0</v>
      </c>
    </row>
    <row r="696" spans="1:9" ht="12.75">
      <c r="A696" s="296">
        <v>67</v>
      </c>
      <c r="B696" s="257">
        <v>3772</v>
      </c>
      <c r="C696" s="29">
        <v>0</v>
      </c>
      <c r="D696" s="115">
        <v>54</v>
      </c>
      <c r="E696" s="297">
        <v>3.698</v>
      </c>
      <c r="F696" s="301">
        <v>0</v>
      </c>
      <c r="G696" s="304">
        <v>0</v>
      </c>
      <c r="H696" s="301">
        <v>1</v>
      </c>
      <c r="I696" s="304">
        <v>0</v>
      </c>
    </row>
    <row r="697" spans="1:9" ht="12.75">
      <c r="A697" s="296">
        <v>70</v>
      </c>
      <c r="B697" s="257">
        <v>4353</v>
      </c>
      <c r="C697" s="29">
        <v>0</v>
      </c>
      <c r="D697" s="115">
        <v>51</v>
      </c>
      <c r="E697" s="297">
        <v>3.64</v>
      </c>
      <c r="F697" s="301">
        <v>0</v>
      </c>
      <c r="G697" s="304">
        <v>0</v>
      </c>
      <c r="H697" s="301">
        <v>1</v>
      </c>
      <c r="I697" s="304">
        <v>0</v>
      </c>
    </row>
    <row r="698" spans="1:9" ht="12.75">
      <c r="A698" s="296">
        <v>72</v>
      </c>
      <c r="B698" s="257">
        <v>2742</v>
      </c>
      <c r="C698" s="29">
        <v>0</v>
      </c>
      <c r="D698" s="115">
        <v>51</v>
      </c>
      <c r="E698" s="297">
        <v>3.564</v>
      </c>
      <c r="F698" s="301">
        <v>0</v>
      </c>
      <c r="G698" s="304">
        <v>0</v>
      </c>
      <c r="H698" s="301">
        <v>1</v>
      </c>
      <c r="I698" s="304">
        <v>0</v>
      </c>
    </row>
    <row r="699" spans="1:9" ht="12.75">
      <c r="A699" s="296">
        <v>73</v>
      </c>
      <c r="B699" s="257">
        <v>1131</v>
      </c>
      <c r="C699" s="29">
        <v>0</v>
      </c>
      <c r="D699" s="115">
        <v>54</v>
      </c>
      <c r="E699" s="297">
        <v>3.692</v>
      </c>
      <c r="F699" s="301">
        <v>0</v>
      </c>
      <c r="G699" s="304">
        <v>0</v>
      </c>
      <c r="H699" s="301">
        <v>1</v>
      </c>
      <c r="I699" s="304">
        <v>0</v>
      </c>
    </row>
    <row r="700" spans="1:9" ht="12.75">
      <c r="A700" s="296">
        <v>74</v>
      </c>
      <c r="B700" s="257">
        <v>3003</v>
      </c>
      <c r="C700" s="29">
        <v>0</v>
      </c>
      <c r="D700" s="115">
        <v>52</v>
      </c>
      <c r="E700" s="297">
        <v>2.837</v>
      </c>
      <c r="F700" s="301">
        <v>0</v>
      </c>
      <c r="G700" s="304">
        <v>0</v>
      </c>
      <c r="H700" s="301">
        <v>1</v>
      </c>
      <c r="I700" s="304">
        <v>0</v>
      </c>
    </row>
    <row r="701" spans="1:9" ht="12.75">
      <c r="A701" s="296">
        <v>75</v>
      </c>
      <c r="B701" s="257">
        <v>1078</v>
      </c>
      <c r="C701" s="29">
        <v>1</v>
      </c>
      <c r="D701" s="115">
        <v>55</v>
      </c>
      <c r="E701" s="297">
        <v>3.584</v>
      </c>
      <c r="F701" s="301">
        <v>0</v>
      </c>
      <c r="G701" s="304">
        <v>0</v>
      </c>
      <c r="H701" s="301">
        <v>1</v>
      </c>
      <c r="I701" s="304">
        <v>0</v>
      </c>
    </row>
    <row r="702" spans="1:9" ht="12.75">
      <c r="A702" s="296">
        <v>76</v>
      </c>
      <c r="B702" s="257">
        <v>949</v>
      </c>
      <c r="C702" s="29">
        <v>0</v>
      </c>
      <c r="D702" s="115">
        <v>55</v>
      </c>
      <c r="E702" s="297">
        <v>3.594</v>
      </c>
      <c r="F702" s="301">
        <v>0</v>
      </c>
      <c r="G702" s="304">
        <v>0</v>
      </c>
      <c r="H702" s="301">
        <v>1</v>
      </c>
      <c r="I702" s="304">
        <v>0</v>
      </c>
    </row>
    <row r="703" spans="1:9" ht="12.75">
      <c r="A703" s="296">
        <v>77</v>
      </c>
      <c r="B703" s="257">
        <v>61</v>
      </c>
      <c r="C703" s="29">
        <v>0</v>
      </c>
      <c r="D703" s="115">
        <v>51</v>
      </c>
      <c r="E703" s="297">
        <v>3.593</v>
      </c>
      <c r="F703" s="301">
        <v>0</v>
      </c>
      <c r="G703" s="304">
        <v>0</v>
      </c>
      <c r="H703" s="301">
        <v>1</v>
      </c>
      <c r="I703" s="304">
        <v>0</v>
      </c>
    </row>
    <row r="704" spans="1:9" ht="12.75">
      <c r="A704" s="296">
        <v>82</v>
      </c>
      <c r="B704" s="257">
        <v>1463</v>
      </c>
      <c r="C704" s="29">
        <v>1</v>
      </c>
      <c r="D704" s="115">
        <v>50</v>
      </c>
      <c r="E704" s="297">
        <v>3.66</v>
      </c>
      <c r="F704" s="301">
        <v>0</v>
      </c>
      <c r="G704" s="304">
        <v>0</v>
      </c>
      <c r="H704" s="301">
        <v>1</v>
      </c>
      <c r="I704" s="304">
        <v>0</v>
      </c>
    </row>
    <row r="705" spans="1:9" ht="12.75">
      <c r="A705" s="296">
        <v>84</v>
      </c>
      <c r="B705" s="257">
        <v>1805</v>
      </c>
      <c r="C705" s="29">
        <v>0</v>
      </c>
      <c r="D705" s="115">
        <v>51</v>
      </c>
      <c r="E705" s="297">
        <v>3.56</v>
      </c>
      <c r="F705" s="301">
        <v>0</v>
      </c>
      <c r="G705" s="304">
        <v>0</v>
      </c>
      <c r="H705" s="301">
        <v>1</v>
      </c>
      <c r="I705" s="304">
        <v>0</v>
      </c>
    </row>
    <row r="706" spans="1:9" ht="12.75">
      <c r="A706" s="296">
        <v>95</v>
      </c>
      <c r="B706" s="257">
        <v>1556</v>
      </c>
      <c r="C706" s="29">
        <v>1</v>
      </c>
      <c r="D706" s="115">
        <v>54</v>
      </c>
      <c r="E706" s="297">
        <v>3.602</v>
      </c>
      <c r="F706" s="301">
        <v>0</v>
      </c>
      <c r="G706" s="304">
        <v>0</v>
      </c>
      <c r="H706" s="301">
        <v>1</v>
      </c>
      <c r="I706" s="304">
        <v>0</v>
      </c>
    </row>
    <row r="707" spans="1:9" ht="12.75">
      <c r="A707" s="296">
        <v>100</v>
      </c>
      <c r="B707" s="257">
        <v>3410</v>
      </c>
      <c r="C707" s="29">
        <v>1</v>
      </c>
      <c r="D707" s="115">
        <v>52</v>
      </c>
      <c r="E707" s="297">
        <v>3.568</v>
      </c>
      <c r="F707" s="301">
        <v>0</v>
      </c>
      <c r="G707" s="304">
        <v>0</v>
      </c>
      <c r="H707" s="301">
        <v>1</v>
      </c>
      <c r="I707" s="304">
        <v>0</v>
      </c>
    </row>
    <row r="708" spans="1:9" ht="12.75">
      <c r="A708" s="296">
        <v>101</v>
      </c>
      <c r="B708" s="257">
        <v>1800</v>
      </c>
      <c r="C708" s="29">
        <v>1</v>
      </c>
      <c r="D708" s="115">
        <v>53</v>
      </c>
      <c r="E708" s="297">
        <v>3.491</v>
      </c>
      <c r="F708" s="301">
        <v>0</v>
      </c>
      <c r="G708" s="304">
        <v>0</v>
      </c>
      <c r="H708" s="301">
        <v>1</v>
      </c>
      <c r="I708" s="304">
        <v>0</v>
      </c>
    </row>
    <row r="709" spans="1:9" ht="12.75">
      <c r="A709" s="296">
        <v>103</v>
      </c>
      <c r="B709" s="257">
        <v>1173</v>
      </c>
      <c r="C709" s="29">
        <v>0</v>
      </c>
      <c r="D709" s="115">
        <v>53</v>
      </c>
      <c r="E709" s="297">
        <v>3.579</v>
      </c>
      <c r="F709" s="301">
        <v>0</v>
      </c>
      <c r="G709" s="304">
        <v>0</v>
      </c>
      <c r="H709" s="301">
        <v>1</v>
      </c>
      <c r="I709" s="304">
        <v>0</v>
      </c>
    </row>
    <row r="710" spans="1:9" ht="12.75">
      <c r="A710" s="296">
        <v>110</v>
      </c>
      <c r="B710" s="257">
        <v>1705</v>
      </c>
      <c r="C710" s="29">
        <v>1</v>
      </c>
      <c r="D710" s="115">
        <v>52</v>
      </c>
      <c r="E710" s="297">
        <v>3.493</v>
      </c>
      <c r="F710" s="301">
        <v>0</v>
      </c>
      <c r="G710" s="304">
        <v>0</v>
      </c>
      <c r="H710" s="301">
        <v>1</v>
      </c>
      <c r="I710" s="304">
        <v>0</v>
      </c>
    </row>
    <row r="711" spans="1:9" ht="12.75">
      <c r="A711" s="296">
        <v>112</v>
      </c>
      <c r="B711" s="257">
        <v>3651</v>
      </c>
      <c r="C711" s="29">
        <v>1</v>
      </c>
      <c r="D711" s="115">
        <v>54</v>
      </c>
      <c r="E711" s="297">
        <v>3.737</v>
      </c>
      <c r="F711" s="301">
        <v>0</v>
      </c>
      <c r="G711" s="304">
        <v>0</v>
      </c>
      <c r="H711" s="301">
        <v>1</v>
      </c>
      <c r="I711" s="304">
        <v>0</v>
      </c>
    </row>
    <row r="712" spans="1:9" ht="12.75">
      <c r="A712" s="296">
        <v>116</v>
      </c>
      <c r="B712" s="257">
        <v>478</v>
      </c>
      <c r="C712" s="29">
        <v>0</v>
      </c>
      <c r="D712" s="115">
        <v>54</v>
      </c>
      <c r="E712" s="297">
        <v>3.643</v>
      </c>
      <c r="F712" s="301">
        <v>0</v>
      </c>
      <c r="G712" s="304">
        <v>0</v>
      </c>
      <c r="H712" s="301">
        <v>1</v>
      </c>
      <c r="I712" s="304">
        <v>0</v>
      </c>
    </row>
    <row r="713" spans="1:9" ht="12.75">
      <c r="A713" s="296">
        <v>118</v>
      </c>
      <c r="B713" s="257">
        <v>4544</v>
      </c>
      <c r="C713" s="29">
        <v>0</v>
      </c>
      <c r="D713" s="115">
        <v>53</v>
      </c>
      <c r="E713" s="297">
        <v>3.646</v>
      </c>
      <c r="F713" s="301">
        <v>0</v>
      </c>
      <c r="G713" s="304">
        <v>0</v>
      </c>
      <c r="H713" s="301">
        <v>1</v>
      </c>
      <c r="I713" s="304">
        <v>0</v>
      </c>
    </row>
    <row r="714" spans="1:9" ht="12.75">
      <c r="A714" s="296">
        <v>121</v>
      </c>
      <c r="B714" s="257">
        <v>3376</v>
      </c>
      <c r="C714" s="29">
        <v>0</v>
      </c>
      <c r="D714" s="115">
        <v>54</v>
      </c>
      <c r="E714" s="297">
        <v>3.819</v>
      </c>
      <c r="F714" s="301">
        <v>0</v>
      </c>
      <c r="G714" s="304">
        <v>0</v>
      </c>
      <c r="H714" s="301">
        <v>1</v>
      </c>
      <c r="I714" s="304">
        <v>0</v>
      </c>
    </row>
    <row r="715" spans="1:9" ht="12.75">
      <c r="A715" s="296">
        <v>122</v>
      </c>
      <c r="B715" s="257">
        <v>3031</v>
      </c>
      <c r="C715" s="29">
        <v>0</v>
      </c>
      <c r="D715" s="115">
        <v>54</v>
      </c>
      <c r="E715" s="297">
        <v>3.763</v>
      </c>
      <c r="F715" s="301">
        <v>0</v>
      </c>
      <c r="G715" s="304">
        <v>0</v>
      </c>
      <c r="H715" s="301">
        <v>1</v>
      </c>
      <c r="I715" s="304">
        <v>0</v>
      </c>
    </row>
    <row r="716" spans="1:9" ht="12.75">
      <c r="A716" s="296">
        <v>123</v>
      </c>
      <c r="B716" s="257">
        <v>15</v>
      </c>
      <c r="C716" s="29">
        <v>0</v>
      </c>
      <c r="D716" s="115">
        <v>55</v>
      </c>
      <c r="E716" s="297">
        <v>3.748</v>
      </c>
      <c r="F716" s="301">
        <v>0</v>
      </c>
      <c r="G716" s="304">
        <v>0</v>
      </c>
      <c r="H716" s="301">
        <v>1</v>
      </c>
      <c r="I716" s="304">
        <v>0</v>
      </c>
    </row>
    <row r="717" spans="1:9" ht="12.75">
      <c r="A717" s="296">
        <v>132</v>
      </c>
      <c r="B717" s="257">
        <v>3972</v>
      </c>
      <c r="C717" s="29">
        <v>0</v>
      </c>
      <c r="D717" s="115">
        <v>54</v>
      </c>
      <c r="E717" s="297">
        <v>3.713</v>
      </c>
      <c r="F717" s="301">
        <v>0</v>
      </c>
      <c r="G717" s="304">
        <v>0</v>
      </c>
      <c r="H717" s="301">
        <v>1</v>
      </c>
      <c r="I717" s="304">
        <v>0</v>
      </c>
    </row>
    <row r="718" spans="1:9" ht="12.75">
      <c r="A718" s="296">
        <v>134</v>
      </c>
      <c r="B718" s="257">
        <v>876</v>
      </c>
      <c r="C718" s="29">
        <v>1</v>
      </c>
      <c r="D718" s="115">
        <v>53</v>
      </c>
      <c r="E718" s="297">
        <v>3.749</v>
      </c>
      <c r="F718" s="301">
        <v>0</v>
      </c>
      <c r="G718" s="304">
        <v>0</v>
      </c>
      <c r="H718" s="301">
        <v>1</v>
      </c>
      <c r="I718" s="304">
        <v>0</v>
      </c>
    </row>
    <row r="719" spans="1:9" ht="12.75">
      <c r="A719" s="296">
        <v>135</v>
      </c>
      <c r="B719" s="257">
        <v>2709</v>
      </c>
      <c r="C719" s="29">
        <v>1</v>
      </c>
      <c r="D719" s="115">
        <v>55</v>
      </c>
      <c r="E719" s="297">
        <v>3.539</v>
      </c>
      <c r="F719" s="301">
        <v>0</v>
      </c>
      <c r="G719" s="304">
        <v>0</v>
      </c>
      <c r="H719" s="301">
        <v>1</v>
      </c>
      <c r="I719" s="304">
        <v>0</v>
      </c>
    </row>
    <row r="720" spans="1:9" ht="12.75">
      <c r="A720" s="296">
        <v>144</v>
      </c>
      <c r="B720" s="257">
        <v>1104</v>
      </c>
      <c r="C720" s="29">
        <v>0</v>
      </c>
      <c r="D720" s="115">
        <v>53</v>
      </c>
      <c r="E720" s="297">
        <v>3.83</v>
      </c>
      <c r="F720" s="301">
        <v>0</v>
      </c>
      <c r="G720" s="304">
        <v>0</v>
      </c>
      <c r="H720" s="301">
        <v>1</v>
      </c>
      <c r="I720" s="304">
        <v>0</v>
      </c>
    </row>
    <row r="721" spans="1:9" ht="12.75">
      <c r="A721" s="296">
        <v>150</v>
      </c>
      <c r="B721" s="257">
        <v>233</v>
      </c>
      <c r="C721" s="29">
        <v>0</v>
      </c>
      <c r="D721" s="115">
        <v>55</v>
      </c>
      <c r="E721" s="297">
        <v>3.531</v>
      </c>
      <c r="F721" s="301">
        <v>0</v>
      </c>
      <c r="G721" s="304">
        <v>0</v>
      </c>
      <c r="H721" s="301">
        <v>1</v>
      </c>
      <c r="I721" s="304">
        <v>0</v>
      </c>
    </row>
    <row r="722" spans="1:9" ht="12.75">
      <c r="A722" s="296">
        <v>153</v>
      </c>
      <c r="B722" s="257">
        <v>749</v>
      </c>
      <c r="C722" s="29">
        <v>1</v>
      </c>
      <c r="D722" s="115">
        <v>54</v>
      </c>
      <c r="E722" s="297">
        <v>3.551</v>
      </c>
      <c r="F722" s="301">
        <v>0</v>
      </c>
      <c r="G722" s="304">
        <v>0</v>
      </c>
      <c r="H722" s="301">
        <v>1</v>
      </c>
      <c r="I722" s="304">
        <v>0</v>
      </c>
    </row>
    <row r="723" spans="1:9" ht="12.75">
      <c r="A723" s="296">
        <v>154</v>
      </c>
      <c r="B723" s="257">
        <v>3079</v>
      </c>
      <c r="C723" s="29">
        <v>0</v>
      </c>
      <c r="D723" s="115">
        <v>53</v>
      </c>
      <c r="E723" s="297">
        <v>3.527</v>
      </c>
      <c r="F723" s="301">
        <v>0</v>
      </c>
      <c r="G723" s="304">
        <v>0</v>
      </c>
      <c r="H723" s="301">
        <v>1</v>
      </c>
      <c r="I723" s="304">
        <v>0</v>
      </c>
    </row>
    <row r="724" spans="1:9" ht="12.75">
      <c r="A724" s="296">
        <v>155</v>
      </c>
      <c r="B724" s="257">
        <v>3654</v>
      </c>
      <c r="C724" s="29">
        <v>0</v>
      </c>
      <c r="D724" s="115">
        <v>55</v>
      </c>
      <c r="E724" s="297">
        <v>3.8</v>
      </c>
      <c r="F724" s="301">
        <v>0</v>
      </c>
      <c r="G724" s="304">
        <v>0</v>
      </c>
      <c r="H724" s="301">
        <v>1</v>
      </c>
      <c r="I724" s="304">
        <v>0</v>
      </c>
    </row>
    <row r="725" spans="1:9" ht="12.75">
      <c r="A725" s="296">
        <v>156</v>
      </c>
      <c r="B725" s="257">
        <v>3480</v>
      </c>
      <c r="C725" s="29">
        <v>1</v>
      </c>
      <c r="D725" s="115">
        <v>54</v>
      </c>
      <c r="E725" s="297">
        <v>3.617</v>
      </c>
      <c r="F725" s="301">
        <v>0</v>
      </c>
      <c r="G725" s="304">
        <v>0</v>
      </c>
      <c r="H725" s="301">
        <v>1</v>
      </c>
      <c r="I725" s="304">
        <v>0</v>
      </c>
    </row>
    <row r="726" spans="1:9" ht="12.75">
      <c r="A726" s="296">
        <v>163</v>
      </c>
      <c r="B726" s="257">
        <v>2219</v>
      </c>
      <c r="C726" s="29">
        <v>0</v>
      </c>
      <c r="D726" s="115">
        <v>53</v>
      </c>
      <c r="E726" s="297">
        <v>3.419</v>
      </c>
      <c r="F726" s="301">
        <v>0</v>
      </c>
      <c r="G726" s="304">
        <v>0</v>
      </c>
      <c r="H726" s="301">
        <v>1</v>
      </c>
      <c r="I726" s="304">
        <v>0</v>
      </c>
    </row>
    <row r="727" spans="1:9" ht="12.75">
      <c r="A727" s="296">
        <v>164</v>
      </c>
      <c r="B727" s="257">
        <v>1176</v>
      </c>
      <c r="C727" s="29">
        <v>1</v>
      </c>
      <c r="D727" s="115">
        <v>53</v>
      </c>
      <c r="E727" s="297">
        <v>3.724</v>
      </c>
      <c r="F727" s="301">
        <v>0</v>
      </c>
      <c r="G727" s="304">
        <v>0</v>
      </c>
      <c r="H727" s="301">
        <v>1</v>
      </c>
      <c r="I727" s="304">
        <v>0</v>
      </c>
    </row>
    <row r="728" spans="1:9" ht="12.75">
      <c r="A728" s="296">
        <v>171</v>
      </c>
      <c r="B728" s="257">
        <v>639</v>
      </c>
      <c r="C728" s="29">
        <v>1</v>
      </c>
      <c r="D728" s="115">
        <v>56</v>
      </c>
      <c r="E728" s="297">
        <v>3.601</v>
      </c>
      <c r="F728" s="301">
        <v>0</v>
      </c>
      <c r="G728" s="304">
        <v>0</v>
      </c>
      <c r="H728" s="301">
        <v>1</v>
      </c>
      <c r="I728" s="304">
        <v>0</v>
      </c>
    </row>
    <row r="729" spans="1:9" ht="12.75">
      <c r="A729" s="296">
        <v>172</v>
      </c>
      <c r="B729" s="257">
        <v>4491</v>
      </c>
      <c r="C729" s="29">
        <v>1</v>
      </c>
      <c r="D729" s="115">
        <v>53</v>
      </c>
      <c r="E729" s="297">
        <v>2.938</v>
      </c>
      <c r="F729" s="301">
        <v>0</v>
      </c>
      <c r="G729" s="304">
        <v>0</v>
      </c>
      <c r="H729" s="301">
        <v>1</v>
      </c>
      <c r="I729" s="304">
        <v>0</v>
      </c>
    </row>
    <row r="730" spans="1:9" ht="12.75">
      <c r="A730" s="296">
        <v>178</v>
      </c>
      <c r="B730" s="257">
        <v>2893</v>
      </c>
      <c r="C730" s="29">
        <v>1</v>
      </c>
      <c r="D730" s="115">
        <v>53</v>
      </c>
      <c r="E730" s="297">
        <v>3.478</v>
      </c>
      <c r="F730" s="301">
        <v>0</v>
      </c>
      <c r="G730" s="304">
        <v>0</v>
      </c>
      <c r="H730" s="301">
        <v>1</v>
      </c>
      <c r="I730" s="304">
        <v>0</v>
      </c>
    </row>
    <row r="731" spans="1:9" ht="12.75">
      <c r="A731" s="296">
        <v>180</v>
      </c>
      <c r="B731" s="257">
        <v>207</v>
      </c>
      <c r="C731" s="29">
        <v>1</v>
      </c>
      <c r="D731" s="115">
        <v>56</v>
      </c>
      <c r="E731" s="297">
        <v>3.687</v>
      </c>
      <c r="F731" s="301">
        <v>0</v>
      </c>
      <c r="G731" s="304">
        <v>0</v>
      </c>
      <c r="H731" s="301">
        <v>1</v>
      </c>
      <c r="I731" s="304">
        <v>0</v>
      </c>
    </row>
    <row r="732" spans="1:9" ht="12.75">
      <c r="A732" s="296">
        <v>182</v>
      </c>
      <c r="B732" s="257">
        <v>978</v>
      </c>
      <c r="C732" s="29">
        <v>0</v>
      </c>
      <c r="D732" s="115">
        <v>54</v>
      </c>
      <c r="E732" s="297">
        <v>3.632</v>
      </c>
      <c r="F732" s="301">
        <v>0</v>
      </c>
      <c r="G732" s="304">
        <v>0</v>
      </c>
      <c r="H732" s="301">
        <v>1</v>
      </c>
      <c r="I732" s="304">
        <v>0</v>
      </c>
    </row>
    <row r="733" spans="1:9" ht="12.75">
      <c r="A733" s="296">
        <v>188</v>
      </c>
      <c r="B733" s="257">
        <v>486</v>
      </c>
      <c r="C733" s="29">
        <v>0</v>
      </c>
      <c r="D733" s="115">
        <v>55</v>
      </c>
      <c r="E733" s="297">
        <v>3.836</v>
      </c>
      <c r="F733" s="301">
        <v>0</v>
      </c>
      <c r="G733" s="304">
        <v>0</v>
      </c>
      <c r="H733" s="301">
        <v>1</v>
      </c>
      <c r="I733" s="304">
        <v>0</v>
      </c>
    </row>
    <row r="734" spans="1:9" ht="12.75">
      <c r="A734" s="296">
        <v>201</v>
      </c>
      <c r="B734" s="257">
        <v>1807</v>
      </c>
      <c r="C734" s="29">
        <v>1</v>
      </c>
      <c r="D734" s="115">
        <v>56</v>
      </c>
      <c r="E734" s="297">
        <v>3.656</v>
      </c>
      <c r="F734" s="301">
        <v>0</v>
      </c>
      <c r="G734" s="304">
        <v>0</v>
      </c>
      <c r="H734" s="301">
        <v>1</v>
      </c>
      <c r="I734" s="304">
        <v>0</v>
      </c>
    </row>
    <row r="735" spans="1:9" ht="12.75">
      <c r="A735" s="296">
        <v>202</v>
      </c>
      <c r="B735" s="257">
        <v>4020</v>
      </c>
      <c r="C735" s="29">
        <v>1</v>
      </c>
      <c r="D735" s="115">
        <v>52</v>
      </c>
      <c r="E735" s="297">
        <v>3.479</v>
      </c>
      <c r="F735" s="301">
        <v>0</v>
      </c>
      <c r="G735" s="304">
        <v>0</v>
      </c>
      <c r="H735" s="301">
        <v>1</v>
      </c>
      <c r="I735" s="304">
        <v>0</v>
      </c>
    </row>
    <row r="736" spans="1:9" ht="12.75">
      <c r="A736" s="296">
        <v>208</v>
      </c>
      <c r="B736" s="257">
        <v>2567</v>
      </c>
      <c r="C736" s="29">
        <v>0</v>
      </c>
      <c r="D736" s="115">
        <v>51</v>
      </c>
      <c r="E736" s="297">
        <v>3.539</v>
      </c>
      <c r="F736" s="301">
        <v>0</v>
      </c>
      <c r="G736" s="304">
        <v>0</v>
      </c>
      <c r="H736" s="301">
        <v>1</v>
      </c>
      <c r="I736" s="304">
        <v>0</v>
      </c>
    </row>
    <row r="737" spans="1:9" ht="12.75">
      <c r="A737" s="296">
        <v>209</v>
      </c>
      <c r="B737" s="257">
        <v>3256</v>
      </c>
      <c r="C737" s="29">
        <v>1</v>
      </c>
      <c r="D737" s="115">
        <v>55</v>
      </c>
      <c r="E737" s="297">
        <v>3.581</v>
      </c>
      <c r="F737" s="301">
        <v>0</v>
      </c>
      <c r="G737" s="304">
        <v>0</v>
      </c>
      <c r="H737" s="301">
        <v>1</v>
      </c>
      <c r="I737" s="304">
        <v>0</v>
      </c>
    </row>
    <row r="738" spans="1:9" ht="12.75">
      <c r="A738" s="296">
        <v>210</v>
      </c>
      <c r="B738" s="257">
        <v>4568</v>
      </c>
      <c r="C738" s="29">
        <v>0</v>
      </c>
      <c r="D738" s="115">
        <v>52</v>
      </c>
      <c r="E738" s="297">
        <v>3.862</v>
      </c>
      <c r="F738" s="301">
        <v>0</v>
      </c>
      <c r="G738" s="304">
        <v>0</v>
      </c>
      <c r="H738" s="301">
        <v>1</v>
      </c>
      <c r="I738" s="304">
        <v>0</v>
      </c>
    </row>
    <row r="739" spans="1:9" ht="12.75">
      <c r="A739" s="296">
        <v>211</v>
      </c>
      <c r="B739" s="257">
        <v>3163</v>
      </c>
      <c r="C739" s="29">
        <v>1</v>
      </c>
      <c r="D739" s="115">
        <v>50</v>
      </c>
      <c r="E739" s="297">
        <v>3.679</v>
      </c>
      <c r="F739" s="301">
        <v>0</v>
      </c>
      <c r="G739" s="304">
        <v>0</v>
      </c>
      <c r="H739" s="301">
        <v>1</v>
      </c>
      <c r="I739" s="304">
        <v>0</v>
      </c>
    </row>
    <row r="740" spans="1:9" ht="12.75">
      <c r="A740" s="296">
        <v>215</v>
      </c>
      <c r="B740" s="257">
        <v>3740</v>
      </c>
      <c r="C740" s="29">
        <v>0</v>
      </c>
      <c r="D740" s="115">
        <v>54</v>
      </c>
      <c r="E740" s="297">
        <v>3.47</v>
      </c>
      <c r="F740" s="301">
        <v>0</v>
      </c>
      <c r="G740" s="304">
        <v>0</v>
      </c>
      <c r="H740" s="301">
        <v>1</v>
      </c>
      <c r="I740" s="304">
        <v>0</v>
      </c>
    </row>
    <row r="741" spans="1:9" ht="12.75">
      <c r="A741" s="296">
        <v>217</v>
      </c>
      <c r="B741" s="257">
        <v>1493</v>
      </c>
      <c r="C741" s="29">
        <v>1</v>
      </c>
      <c r="D741" s="115">
        <v>55</v>
      </c>
      <c r="E741" s="297">
        <v>3.37</v>
      </c>
      <c r="F741" s="301">
        <v>0</v>
      </c>
      <c r="G741" s="304">
        <v>0</v>
      </c>
      <c r="H741" s="301">
        <v>1</v>
      </c>
      <c r="I741" s="304">
        <v>0</v>
      </c>
    </row>
    <row r="742" spans="1:9" ht="12.75">
      <c r="A742" s="296">
        <v>222</v>
      </c>
      <c r="B742" s="257">
        <v>1788</v>
      </c>
      <c r="C742" s="29">
        <v>0</v>
      </c>
      <c r="D742" s="115">
        <v>51</v>
      </c>
      <c r="E742" s="297">
        <v>3.554</v>
      </c>
      <c r="F742" s="301">
        <v>0</v>
      </c>
      <c r="G742" s="304">
        <v>0</v>
      </c>
      <c r="H742" s="301">
        <v>1</v>
      </c>
      <c r="I742" s="304">
        <v>0</v>
      </c>
    </row>
    <row r="743" spans="1:9" ht="12.75">
      <c r="A743" s="296">
        <v>223</v>
      </c>
      <c r="B743" s="257">
        <v>4153</v>
      </c>
      <c r="C743" s="29">
        <v>1</v>
      </c>
      <c r="D743" s="115">
        <v>50</v>
      </c>
      <c r="E743" s="297">
        <v>3.736</v>
      </c>
      <c r="F743" s="301">
        <v>0</v>
      </c>
      <c r="G743" s="304">
        <v>0</v>
      </c>
      <c r="H743" s="301">
        <v>1</v>
      </c>
      <c r="I743" s="304">
        <v>0</v>
      </c>
    </row>
    <row r="744" spans="1:9" ht="12.75">
      <c r="A744" s="296">
        <v>225</v>
      </c>
      <c r="B744" s="257">
        <v>493</v>
      </c>
      <c r="C744" s="29">
        <v>0</v>
      </c>
      <c r="D744" s="115">
        <v>54</v>
      </c>
      <c r="E744" s="297">
        <v>3.431</v>
      </c>
      <c r="F744" s="301">
        <v>0</v>
      </c>
      <c r="G744" s="304">
        <v>0</v>
      </c>
      <c r="H744" s="301">
        <v>1</v>
      </c>
      <c r="I744" s="304">
        <v>0</v>
      </c>
    </row>
    <row r="745" spans="1:9" ht="12.75">
      <c r="A745" s="296">
        <v>226</v>
      </c>
      <c r="B745" s="257">
        <v>2880</v>
      </c>
      <c r="C745" s="29">
        <v>1</v>
      </c>
      <c r="D745" s="115">
        <v>53</v>
      </c>
      <c r="E745" s="297">
        <v>3.756</v>
      </c>
      <c r="F745" s="301">
        <v>0</v>
      </c>
      <c r="G745" s="304">
        <v>0</v>
      </c>
      <c r="H745" s="301">
        <v>1</v>
      </c>
      <c r="I745" s="304">
        <v>0</v>
      </c>
    </row>
    <row r="746" spans="1:9" ht="12.75">
      <c r="A746" s="296">
        <v>231</v>
      </c>
      <c r="B746" s="257">
        <v>529</v>
      </c>
      <c r="C746" s="29">
        <v>1</v>
      </c>
      <c r="D746" s="115">
        <v>53</v>
      </c>
      <c r="E746" s="297">
        <v>3.74</v>
      </c>
      <c r="F746" s="301">
        <v>0</v>
      </c>
      <c r="G746" s="304">
        <v>0</v>
      </c>
      <c r="H746" s="301">
        <v>1</v>
      </c>
      <c r="I746" s="304">
        <v>0</v>
      </c>
    </row>
    <row r="747" spans="1:9" ht="12.75">
      <c r="A747" s="296">
        <v>234</v>
      </c>
      <c r="B747" s="257">
        <v>2187</v>
      </c>
      <c r="C747" s="29">
        <v>1</v>
      </c>
      <c r="D747" s="115">
        <v>54</v>
      </c>
      <c r="E747" s="297">
        <v>3.591</v>
      </c>
      <c r="F747" s="301">
        <v>0</v>
      </c>
      <c r="G747" s="304">
        <v>0</v>
      </c>
      <c r="H747" s="301">
        <v>1</v>
      </c>
      <c r="I747" s="304">
        <v>0</v>
      </c>
    </row>
    <row r="748" spans="1:9" ht="12.75">
      <c r="A748" s="296">
        <v>236</v>
      </c>
      <c r="B748" s="257">
        <v>3323</v>
      </c>
      <c r="C748" s="29">
        <v>1</v>
      </c>
      <c r="D748" s="115">
        <v>51</v>
      </c>
      <c r="E748" s="297">
        <v>3.854</v>
      </c>
      <c r="F748" s="301">
        <v>0</v>
      </c>
      <c r="G748" s="304">
        <v>0</v>
      </c>
      <c r="H748" s="301">
        <v>1</v>
      </c>
      <c r="I748" s="304">
        <v>0</v>
      </c>
    </row>
    <row r="749" spans="1:9" ht="12.75">
      <c r="A749" s="296">
        <v>242</v>
      </c>
      <c r="B749" s="257">
        <v>3550</v>
      </c>
      <c r="C749" s="29">
        <v>1</v>
      </c>
      <c r="D749" s="115">
        <v>51</v>
      </c>
      <c r="E749" s="297">
        <v>4.446</v>
      </c>
      <c r="F749" s="301">
        <v>0</v>
      </c>
      <c r="G749" s="304">
        <v>0</v>
      </c>
      <c r="H749" s="301">
        <v>1</v>
      </c>
      <c r="I749" s="304">
        <v>0</v>
      </c>
    </row>
    <row r="750" spans="1:9" ht="12.75">
      <c r="A750" s="296">
        <v>243</v>
      </c>
      <c r="B750" s="257">
        <v>3312</v>
      </c>
      <c r="C750" s="29">
        <v>1</v>
      </c>
      <c r="D750" s="115">
        <v>50</v>
      </c>
      <c r="E750" s="297">
        <v>3.724</v>
      </c>
      <c r="F750" s="301">
        <v>0</v>
      </c>
      <c r="G750" s="304">
        <v>0</v>
      </c>
      <c r="H750" s="301">
        <v>1</v>
      </c>
      <c r="I750" s="304">
        <v>0</v>
      </c>
    </row>
    <row r="751" spans="1:9" ht="12.75">
      <c r="A751" s="296">
        <v>246</v>
      </c>
      <c r="B751" s="257">
        <v>1629</v>
      </c>
      <c r="C751" s="29">
        <v>1</v>
      </c>
      <c r="D751" s="115">
        <v>55</v>
      </c>
      <c r="E751" s="297">
        <v>3.654</v>
      </c>
      <c r="F751" s="301">
        <v>0</v>
      </c>
      <c r="G751" s="304">
        <v>0</v>
      </c>
      <c r="H751" s="301">
        <v>1</v>
      </c>
      <c r="I751" s="304">
        <v>0</v>
      </c>
    </row>
    <row r="752" spans="1:9" ht="12.75">
      <c r="A752" s="296">
        <v>247</v>
      </c>
      <c r="B752" s="257">
        <v>939</v>
      </c>
      <c r="C752" s="29">
        <v>1</v>
      </c>
      <c r="D752" s="115">
        <v>54</v>
      </c>
      <c r="E752" s="297">
        <v>3.689</v>
      </c>
      <c r="F752" s="301">
        <v>0</v>
      </c>
      <c r="G752" s="304">
        <v>0</v>
      </c>
      <c r="H752" s="301">
        <v>1</v>
      </c>
      <c r="I752" s="304">
        <v>0</v>
      </c>
    </row>
    <row r="753" spans="1:9" ht="12.75">
      <c r="A753" s="296">
        <v>251</v>
      </c>
      <c r="B753" s="257">
        <v>731</v>
      </c>
      <c r="C753" s="29">
        <v>0</v>
      </c>
      <c r="D753" s="115">
        <v>54</v>
      </c>
      <c r="E753" s="297">
        <v>3.701</v>
      </c>
      <c r="F753" s="301">
        <v>0</v>
      </c>
      <c r="G753" s="304">
        <v>0</v>
      </c>
      <c r="H753" s="301">
        <v>1</v>
      </c>
      <c r="I753" s="304">
        <v>0</v>
      </c>
    </row>
    <row r="754" spans="1:9" ht="12.75">
      <c r="A754" s="296">
        <v>256</v>
      </c>
      <c r="B754" s="257">
        <v>3462</v>
      </c>
      <c r="C754" s="29">
        <v>1</v>
      </c>
      <c r="D754" s="115">
        <v>56</v>
      </c>
      <c r="E754" s="297">
        <v>3.808</v>
      </c>
      <c r="F754" s="301">
        <v>0</v>
      </c>
      <c r="G754" s="304">
        <v>0</v>
      </c>
      <c r="H754" s="301">
        <v>1</v>
      </c>
      <c r="I754" s="304">
        <v>0</v>
      </c>
    </row>
    <row r="755" spans="1:9" ht="12.75">
      <c r="A755" s="296">
        <v>258</v>
      </c>
      <c r="B755" s="257">
        <v>3433</v>
      </c>
      <c r="C755" s="29">
        <v>0</v>
      </c>
      <c r="D755" s="115">
        <v>55</v>
      </c>
      <c r="E755" s="297">
        <v>3.676</v>
      </c>
      <c r="F755" s="301">
        <v>0</v>
      </c>
      <c r="G755" s="304">
        <v>0</v>
      </c>
      <c r="H755" s="301">
        <v>1</v>
      </c>
      <c r="I755" s="304">
        <v>0</v>
      </c>
    </row>
    <row r="756" spans="1:9" ht="12.75">
      <c r="A756" s="296">
        <v>260</v>
      </c>
      <c r="B756" s="257">
        <v>880</v>
      </c>
      <c r="C756" s="29">
        <v>1</v>
      </c>
      <c r="D756" s="115">
        <v>51</v>
      </c>
      <c r="E756" s="297">
        <v>3.81</v>
      </c>
      <c r="F756" s="301">
        <v>0</v>
      </c>
      <c r="G756" s="304">
        <v>0</v>
      </c>
      <c r="H756" s="301">
        <v>1</v>
      </c>
      <c r="I756" s="304">
        <v>0</v>
      </c>
    </row>
    <row r="757" spans="1:9" ht="12.75">
      <c r="A757" s="296">
        <v>261</v>
      </c>
      <c r="B757" s="257">
        <v>1293</v>
      </c>
      <c r="C757" s="29">
        <v>0</v>
      </c>
      <c r="D757" s="115">
        <v>54</v>
      </c>
      <c r="E757" s="297">
        <v>3.37</v>
      </c>
      <c r="F757" s="301">
        <v>0</v>
      </c>
      <c r="G757" s="304">
        <v>0</v>
      </c>
      <c r="H757" s="301">
        <v>1</v>
      </c>
      <c r="I757" s="304">
        <v>0</v>
      </c>
    </row>
    <row r="758" spans="1:9" ht="12.75">
      <c r="A758" s="296">
        <v>262</v>
      </c>
      <c r="B758" s="257">
        <v>1049</v>
      </c>
      <c r="C758" s="29">
        <v>1</v>
      </c>
      <c r="D758" s="115">
        <v>54</v>
      </c>
      <c r="E758" s="297">
        <v>3.511</v>
      </c>
      <c r="F758" s="301">
        <v>0</v>
      </c>
      <c r="G758" s="304">
        <v>0</v>
      </c>
      <c r="H758" s="301">
        <v>1</v>
      </c>
      <c r="I758" s="304">
        <v>0</v>
      </c>
    </row>
    <row r="759" spans="1:9" ht="12.75">
      <c r="A759" s="296">
        <v>263</v>
      </c>
      <c r="B759" s="257">
        <v>1774</v>
      </c>
      <c r="C759" s="29">
        <v>0</v>
      </c>
      <c r="D759" s="115">
        <v>54</v>
      </c>
      <c r="E759" s="297">
        <v>3.548</v>
      </c>
      <c r="F759" s="301">
        <v>0</v>
      </c>
      <c r="G759" s="304">
        <v>0</v>
      </c>
      <c r="H759" s="301">
        <v>1</v>
      </c>
      <c r="I759" s="304">
        <v>0</v>
      </c>
    </row>
    <row r="760" spans="1:9" ht="12.75">
      <c r="A760" s="271">
        <v>2</v>
      </c>
      <c r="B760" s="253">
        <v>855</v>
      </c>
      <c r="C760" s="28">
        <v>0</v>
      </c>
      <c r="D760" s="27">
        <v>53</v>
      </c>
      <c r="E760" s="6">
        <v>4.056</v>
      </c>
      <c r="F760" s="256">
        <v>0</v>
      </c>
      <c r="G760" s="258">
        <v>0</v>
      </c>
      <c r="H760" s="256">
        <v>0</v>
      </c>
      <c r="I760" s="258">
        <v>1</v>
      </c>
    </row>
    <row r="761" spans="1:9" ht="12.75">
      <c r="A761" s="271">
        <v>7</v>
      </c>
      <c r="B761" s="253">
        <v>336</v>
      </c>
      <c r="C761" s="28">
        <v>0</v>
      </c>
      <c r="D761" s="27">
        <v>52</v>
      </c>
      <c r="E761" s="6">
        <v>3.838</v>
      </c>
      <c r="F761" s="256">
        <v>0</v>
      </c>
      <c r="G761" s="258">
        <v>0</v>
      </c>
      <c r="H761" s="256">
        <v>0</v>
      </c>
      <c r="I761" s="258">
        <v>1</v>
      </c>
    </row>
    <row r="762" spans="1:9" ht="12.75">
      <c r="A762" s="271">
        <v>11</v>
      </c>
      <c r="B762" s="253">
        <v>1390</v>
      </c>
      <c r="C762" s="28">
        <v>1</v>
      </c>
      <c r="D762" s="27">
        <v>53</v>
      </c>
      <c r="E762" s="6">
        <v>3.999</v>
      </c>
      <c r="F762" s="256">
        <v>0</v>
      </c>
      <c r="G762" s="258">
        <v>0</v>
      </c>
      <c r="H762" s="256">
        <v>0</v>
      </c>
      <c r="I762" s="258">
        <v>1</v>
      </c>
    </row>
    <row r="763" spans="1:9" ht="12.75">
      <c r="A763" s="271">
        <v>15</v>
      </c>
      <c r="B763" s="253">
        <v>3539</v>
      </c>
      <c r="C763" s="28">
        <v>0</v>
      </c>
      <c r="D763" s="27">
        <v>55</v>
      </c>
      <c r="E763" s="6">
        <v>4.519</v>
      </c>
      <c r="F763" s="256">
        <v>0</v>
      </c>
      <c r="G763" s="258">
        <v>0</v>
      </c>
      <c r="H763" s="256">
        <v>0</v>
      </c>
      <c r="I763" s="258">
        <v>1</v>
      </c>
    </row>
    <row r="764" spans="1:9" ht="12.75">
      <c r="A764" s="271">
        <v>19</v>
      </c>
      <c r="B764" s="253">
        <v>3381</v>
      </c>
      <c r="C764" s="28">
        <v>1</v>
      </c>
      <c r="D764" s="27">
        <v>54</v>
      </c>
      <c r="E764" s="6">
        <v>3.779</v>
      </c>
      <c r="F764" s="256">
        <v>0</v>
      </c>
      <c r="G764" s="258">
        <v>0</v>
      </c>
      <c r="H764" s="256">
        <v>0</v>
      </c>
      <c r="I764" s="258">
        <v>1</v>
      </c>
    </row>
    <row r="765" spans="1:9" ht="12.75">
      <c r="A765" s="271">
        <v>21</v>
      </c>
      <c r="B765" s="253">
        <v>4584</v>
      </c>
      <c r="C765" s="28">
        <v>1</v>
      </c>
      <c r="D765" s="27">
        <v>52</v>
      </c>
      <c r="E765" s="6">
        <v>4.313</v>
      </c>
      <c r="F765" s="256">
        <v>0</v>
      </c>
      <c r="G765" s="258">
        <v>0</v>
      </c>
      <c r="H765" s="256">
        <v>0</v>
      </c>
      <c r="I765" s="258">
        <v>1</v>
      </c>
    </row>
    <row r="766" spans="1:9" ht="12.75">
      <c r="A766" s="271">
        <v>23</v>
      </c>
      <c r="B766" s="253">
        <v>996</v>
      </c>
      <c r="C766" s="28">
        <v>0</v>
      </c>
      <c r="D766" s="27">
        <v>53</v>
      </c>
      <c r="E766" s="6">
        <v>4.243</v>
      </c>
      <c r="F766" s="256">
        <v>0</v>
      </c>
      <c r="G766" s="258">
        <v>0</v>
      </c>
      <c r="H766" s="256">
        <v>0</v>
      </c>
      <c r="I766" s="258">
        <v>1</v>
      </c>
    </row>
    <row r="767" spans="1:9" ht="12.75">
      <c r="A767" s="271">
        <v>31</v>
      </c>
      <c r="B767" s="257">
        <v>3776</v>
      </c>
      <c r="C767" s="28">
        <v>1</v>
      </c>
      <c r="D767" s="27">
        <v>56</v>
      </c>
      <c r="E767" s="6">
        <v>4.469</v>
      </c>
      <c r="F767" s="256">
        <v>0</v>
      </c>
      <c r="G767" s="258">
        <v>0</v>
      </c>
      <c r="H767" s="256">
        <v>0</v>
      </c>
      <c r="I767" s="258">
        <v>1</v>
      </c>
    </row>
    <row r="768" spans="1:9" ht="12.75">
      <c r="A768" s="271">
        <v>38</v>
      </c>
      <c r="B768" s="257">
        <v>4540</v>
      </c>
      <c r="C768" s="28">
        <v>0</v>
      </c>
      <c r="D768" s="27">
        <v>54</v>
      </c>
      <c r="E768" s="6">
        <v>4.173</v>
      </c>
      <c r="F768" s="256">
        <v>0</v>
      </c>
      <c r="G768" s="258">
        <v>0</v>
      </c>
      <c r="H768" s="256">
        <v>0</v>
      </c>
      <c r="I768" s="258">
        <v>1</v>
      </c>
    </row>
    <row r="769" spans="1:9" ht="12.75">
      <c r="A769" s="271">
        <v>48</v>
      </c>
      <c r="B769" s="257">
        <v>1169</v>
      </c>
      <c r="C769" s="28">
        <v>1</v>
      </c>
      <c r="D769" s="27">
        <v>55</v>
      </c>
      <c r="E769" s="6">
        <v>3.841</v>
      </c>
      <c r="F769" s="256">
        <v>0</v>
      </c>
      <c r="G769" s="258">
        <v>0</v>
      </c>
      <c r="H769" s="256">
        <v>0</v>
      </c>
      <c r="I769" s="258">
        <v>1</v>
      </c>
    </row>
    <row r="770" spans="1:9" ht="12.75">
      <c r="A770" s="271">
        <v>58</v>
      </c>
      <c r="B770" s="257">
        <v>3975</v>
      </c>
      <c r="C770" s="28">
        <v>1</v>
      </c>
      <c r="D770" s="27">
        <v>52</v>
      </c>
      <c r="E770" s="6">
        <v>3.876</v>
      </c>
      <c r="F770" s="256">
        <v>0</v>
      </c>
      <c r="G770" s="258">
        <v>0</v>
      </c>
      <c r="H770" s="256">
        <v>0</v>
      </c>
      <c r="I770" s="258">
        <v>1</v>
      </c>
    </row>
    <row r="771" spans="1:9" ht="12.75">
      <c r="A771" s="271">
        <v>60</v>
      </c>
      <c r="B771" s="257">
        <v>413</v>
      </c>
      <c r="C771" s="28">
        <v>0</v>
      </c>
      <c r="D771" s="27">
        <v>52</v>
      </c>
      <c r="E771" s="6">
        <v>4.362</v>
      </c>
      <c r="F771" s="256">
        <v>0</v>
      </c>
      <c r="G771" s="258">
        <v>0</v>
      </c>
      <c r="H771" s="256">
        <v>0</v>
      </c>
      <c r="I771" s="258">
        <v>1</v>
      </c>
    </row>
    <row r="772" spans="1:9" ht="12.75">
      <c r="A772" s="271">
        <v>61</v>
      </c>
      <c r="B772" s="257">
        <v>4101</v>
      </c>
      <c r="C772" s="28">
        <v>0</v>
      </c>
      <c r="D772" s="27">
        <v>52</v>
      </c>
      <c r="E772" s="6">
        <v>4.459</v>
      </c>
      <c r="F772" s="256">
        <v>0</v>
      </c>
      <c r="G772" s="258">
        <v>0</v>
      </c>
      <c r="H772" s="256">
        <v>0</v>
      </c>
      <c r="I772" s="258">
        <v>1</v>
      </c>
    </row>
    <row r="773" spans="1:9" ht="12.75">
      <c r="A773" s="271">
        <v>63</v>
      </c>
      <c r="B773" s="257">
        <v>1536</v>
      </c>
      <c r="C773" s="28">
        <v>0</v>
      </c>
      <c r="D773" s="27">
        <v>52</v>
      </c>
      <c r="E773" s="6">
        <v>3.954</v>
      </c>
      <c r="F773" s="256">
        <v>0</v>
      </c>
      <c r="G773" s="258">
        <v>0</v>
      </c>
      <c r="H773" s="256">
        <v>0</v>
      </c>
      <c r="I773" s="258">
        <v>1</v>
      </c>
    </row>
    <row r="774" spans="1:9" ht="12.75">
      <c r="A774" s="271">
        <v>71</v>
      </c>
      <c r="B774" s="257">
        <v>4533</v>
      </c>
      <c r="C774" s="28">
        <v>0</v>
      </c>
      <c r="D774" s="27">
        <v>51</v>
      </c>
      <c r="E774" s="6">
        <v>4.044</v>
      </c>
      <c r="F774" s="256">
        <v>0</v>
      </c>
      <c r="G774" s="258">
        <v>0</v>
      </c>
      <c r="H774" s="256">
        <v>0</v>
      </c>
      <c r="I774" s="258">
        <v>1</v>
      </c>
    </row>
    <row r="775" spans="1:9" ht="12.75">
      <c r="A775" s="271">
        <v>78</v>
      </c>
      <c r="B775" s="257">
        <v>3316</v>
      </c>
      <c r="C775" s="28">
        <v>0</v>
      </c>
      <c r="D775" s="27">
        <v>54</v>
      </c>
      <c r="E775" s="6">
        <v>3.869</v>
      </c>
      <c r="F775" s="256">
        <v>0</v>
      </c>
      <c r="G775" s="258">
        <v>0</v>
      </c>
      <c r="H775" s="256">
        <v>0</v>
      </c>
      <c r="I775" s="258">
        <v>1</v>
      </c>
    </row>
    <row r="776" spans="1:9" ht="12.75">
      <c r="A776" s="271">
        <v>80</v>
      </c>
      <c r="B776" s="257">
        <v>569</v>
      </c>
      <c r="C776" s="28">
        <v>1</v>
      </c>
      <c r="D776" s="27">
        <v>55</v>
      </c>
      <c r="E776" s="6">
        <v>3.83</v>
      </c>
      <c r="F776" s="256">
        <v>0</v>
      </c>
      <c r="G776" s="258">
        <v>0</v>
      </c>
      <c r="H776" s="256">
        <v>0</v>
      </c>
      <c r="I776" s="258">
        <v>1</v>
      </c>
    </row>
    <row r="777" spans="1:9" ht="12.75">
      <c r="A777" s="271">
        <v>83</v>
      </c>
      <c r="B777" s="257">
        <v>2527</v>
      </c>
      <c r="C777" s="28">
        <v>1</v>
      </c>
      <c r="D777" s="27">
        <v>55</v>
      </c>
      <c r="E777" s="6">
        <v>4.519</v>
      </c>
      <c r="F777" s="256">
        <v>0</v>
      </c>
      <c r="G777" s="258">
        <v>0</v>
      </c>
      <c r="H777" s="256">
        <v>0</v>
      </c>
      <c r="I777" s="258">
        <v>1</v>
      </c>
    </row>
    <row r="778" spans="1:9" ht="12.75">
      <c r="A778" s="271">
        <v>96</v>
      </c>
      <c r="B778" s="257">
        <v>2745</v>
      </c>
      <c r="C778" s="28">
        <v>1</v>
      </c>
      <c r="D778" s="27">
        <v>50</v>
      </c>
      <c r="E778" s="6">
        <v>4.039</v>
      </c>
      <c r="F778" s="256">
        <v>0</v>
      </c>
      <c r="G778" s="258">
        <v>0</v>
      </c>
      <c r="H778" s="256">
        <v>0</v>
      </c>
      <c r="I778" s="258">
        <v>1</v>
      </c>
    </row>
    <row r="779" spans="1:9" ht="12.75">
      <c r="A779" s="271">
        <v>97</v>
      </c>
      <c r="B779" s="257">
        <v>2335</v>
      </c>
      <c r="C779" s="28">
        <v>1</v>
      </c>
      <c r="D779" s="27">
        <v>56</v>
      </c>
      <c r="E779" s="6">
        <v>4.477</v>
      </c>
      <c r="F779" s="256">
        <v>0</v>
      </c>
      <c r="G779" s="258">
        <v>0</v>
      </c>
      <c r="H779" s="256">
        <v>0</v>
      </c>
      <c r="I779" s="258">
        <v>1</v>
      </c>
    </row>
    <row r="780" spans="1:9" ht="12.75">
      <c r="A780" s="271">
        <v>99</v>
      </c>
      <c r="B780" s="257">
        <v>2060</v>
      </c>
      <c r="C780" s="28">
        <v>0</v>
      </c>
      <c r="D780" s="27">
        <v>52</v>
      </c>
      <c r="E780" s="6">
        <v>4.862</v>
      </c>
      <c r="F780" s="256">
        <v>0</v>
      </c>
      <c r="G780" s="258">
        <v>0</v>
      </c>
      <c r="H780" s="256">
        <v>0</v>
      </c>
      <c r="I780" s="258">
        <v>1</v>
      </c>
    </row>
    <row r="781" spans="1:9" ht="12.75">
      <c r="A781" s="271">
        <v>117</v>
      </c>
      <c r="B781" s="257">
        <v>4148</v>
      </c>
      <c r="C781" s="28">
        <v>0</v>
      </c>
      <c r="D781" s="27">
        <v>52</v>
      </c>
      <c r="E781" s="6">
        <v>4.719</v>
      </c>
      <c r="F781" s="256">
        <v>0</v>
      </c>
      <c r="G781" s="258">
        <v>0</v>
      </c>
      <c r="H781" s="256">
        <v>0</v>
      </c>
      <c r="I781" s="258">
        <v>1</v>
      </c>
    </row>
    <row r="782" spans="1:9" ht="12.75">
      <c r="A782" s="271">
        <v>119</v>
      </c>
      <c r="B782" s="257">
        <v>2197</v>
      </c>
      <c r="C782" s="28">
        <v>1</v>
      </c>
      <c r="D782" s="27">
        <v>51</v>
      </c>
      <c r="E782" s="6">
        <v>4.048</v>
      </c>
      <c r="F782" s="256">
        <v>0</v>
      </c>
      <c r="G782" s="258">
        <v>0</v>
      </c>
      <c r="H782" s="256">
        <v>0</v>
      </c>
      <c r="I782" s="258">
        <v>1</v>
      </c>
    </row>
    <row r="783" spans="1:9" ht="12.75">
      <c r="A783" s="271">
        <v>125</v>
      </c>
      <c r="B783" s="257">
        <v>3034</v>
      </c>
      <c r="C783" s="28">
        <v>1</v>
      </c>
      <c r="D783" s="27">
        <v>54</v>
      </c>
      <c r="E783" s="6">
        <v>3.763</v>
      </c>
      <c r="F783" s="256">
        <v>0</v>
      </c>
      <c r="G783" s="258">
        <v>0</v>
      </c>
      <c r="H783" s="256">
        <v>0</v>
      </c>
      <c r="I783" s="258">
        <v>1</v>
      </c>
    </row>
    <row r="784" spans="1:9" ht="12.75">
      <c r="A784" s="271">
        <v>130</v>
      </c>
      <c r="B784" s="257">
        <v>2935</v>
      </c>
      <c r="C784" s="28">
        <v>0</v>
      </c>
      <c r="D784" s="27">
        <v>55</v>
      </c>
      <c r="E784" s="6">
        <v>4.434</v>
      </c>
      <c r="F784" s="256">
        <v>0</v>
      </c>
      <c r="G784" s="258">
        <v>0</v>
      </c>
      <c r="H784" s="256">
        <v>0</v>
      </c>
      <c r="I784" s="258">
        <v>1</v>
      </c>
    </row>
    <row r="785" spans="1:9" ht="12.75">
      <c r="A785" s="271">
        <v>133</v>
      </c>
      <c r="B785" s="257">
        <v>455</v>
      </c>
      <c r="C785" s="28">
        <v>0</v>
      </c>
      <c r="D785" s="27">
        <v>53</v>
      </c>
      <c r="E785" s="6">
        <v>4.038</v>
      </c>
      <c r="F785" s="256">
        <v>0</v>
      </c>
      <c r="G785" s="258">
        <v>0</v>
      </c>
      <c r="H785" s="256">
        <v>0</v>
      </c>
      <c r="I785" s="258">
        <v>1</v>
      </c>
    </row>
    <row r="786" spans="1:9" ht="12.75">
      <c r="A786" s="271">
        <v>136</v>
      </c>
      <c r="B786" s="257">
        <v>527</v>
      </c>
      <c r="C786" s="28">
        <v>1</v>
      </c>
      <c r="D786" s="27">
        <v>55</v>
      </c>
      <c r="E786" s="6">
        <v>4.569</v>
      </c>
      <c r="F786" s="256">
        <v>0</v>
      </c>
      <c r="G786" s="258">
        <v>0</v>
      </c>
      <c r="H786" s="256">
        <v>0</v>
      </c>
      <c r="I786" s="258">
        <v>1</v>
      </c>
    </row>
    <row r="787" spans="1:9" ht="12.75">
      <c r="A787" s="271">
        <v>137</v>
      </c>
      <c r="B787" s="257">
        <v>2997</v>
      </c>
      <c r="C787" s="28">
        <v>1</v>
      </c>
      <c r="D787" s="27">
        <v>51</v>
      </c>
      <c r="E787" s="6">
        <v>4.094</v>
      </c>
      <c r="F787" s="256">
        <v>0</v>
      </c>
      <c r="G787" s="258">
        <v>0</v>
      </c>
      <c r="H787" s="256">
        <v>0</v>
      </c>
      <c r="I787" s="258">
        <v>1</v>
      </c>
    </row>
    <row r="788" spans="1:9" ht="12.75">
      <c r="A788" s="271">
        <v>141</v>
      </c>
      <c r="B788" s="257">
        <v>3013</v>
      </c>
      <c r="C788" s="28">
        <v>1</v>
      </c>
      <c r="D788" s="27">
        <v>51</v>
      </c>
      <c r="E788" s="6">
        <v>4.401</v>
      </c>
      <c r="F788" s="256">
        <v>0</v>
      </c>
      <c r="G788" s="258">
        <v>0</v>
      </c>
      <c r="H788" s="256">
        <v>0</v>
      </c>
      <c r="I788" s="258">
        <v>1</v>
      </c>
    </row>
    <row r="789" spans="1:9" ht="12.75">
      <c r="A789" s="271">
        <v>143</v>
      </c>
      <c r="B789" s="257">
        <v>2545</v>
      </c>
      <c r="C789" s="28">
        <v>0</v>
      </c>
      <c r="D789" s="27">
        <v>51</v>
      </c>
      <c r="E789" s="6">
        <v>4.049</v>
      </c>
      <c r="F789" s="256">
        <v>0</v>
      </c>
      <c r="G789" s="258">
        <v>0</v>
      </c>
      <c r="H789" s="256">
        <v>0</v>
      </c>
      <c r="I789" s="258">
        <v>1</v>
      </c>
    </row>
    <row r="790" spans="1:9" ht="12.75">
      <c r="A790" s="271">
        <v>160</v>
      </c>
      <c r="B790" s="257">
        <v>1813</v>
      </c>
      <c r="C790" s="28">
        <v>1</v>
      </c>
      <c r="D790" s="27">
        <v>51</v>
      </c>
      <c r="E790" s="6">
        <v>4.418</v>
      </c>
      <c r="F790" s="256">
        <v>0</v>
      </c>
      <c r="G790" s="258">
        <v>0</v>
      </c>
      <c r="H790" s="256">
        <v>0</v>
      </c>
      <c r="I790" s="258">
        <v>1</v>
      </c>
    </row>
    <row r="791" spans="1:9" ht="12.75">
      <c r="A791" s="271">
        <v>167</v>
      </c>
      <c r="B791" s="257">
        <v>3424</v>
      </c>
      <c r="C791" s="28">
        <v>1</v>
      </c>
      <c r="D791" s="27">
        <v>51</v>
      </c>
      <c r="E791" s="6">
        <v>3.96</v>
      </c>
      <c r="F791" s="256">
        <v>0</v>
      </c>
      <c r="G791" s="258">
        <v>0</v>
      </c>
      <c r="H791" s="256">
        <v>0</v>
      </c>
      <c r="I791" s="258">
        <v>1</v>
      </c>
    </row>
    <row r="792" spans="1:9" ht="12.75">
      <c r="A792" s="271">
        <v>175</v>
      </c>
      <c r="B792" s="257">
        <v>4202</v>
      </c>
      <c r="C792" s="28">
        <v>1</v>
      </c>
      <c r="D792" s="27">
        <v>54</v>
      </c>
      <c r="E792" s="6">
        <v>4.002</v>
      </c>
      <c r="F792" s="256">
        <v>0</v>
      </c>
      <c r="G792" s="258">
        <v>0</v>
      </c>
      <c r="H792" s="256">
        <v>0</v>
      </c>
      <c r="I792" s="258">
        <v>1</v>
      </c>
    </row>
    <row r="793" spans="1:9" ht="12.75">
      <c r="A793" s="271">
        <v>179</v>
      </c>
      <c r="B793" s="257">
        <v>4038</v>
      </c>
      <c r="C793" s="28">
        <v>1</v>
      </c>
      <c r="D793" s="27">
        <v>53</v>
      </c>
      <c r="E793" s="6">
        <v>3.973</v>
      </c>
      <c r="F793" s="256">
        <v>0</v>
      </c>
      <c r="G793" s="258">
        <v>0</v>
      </c>
      <c r="H793" s="256">
        <v>0</v>
      </c>
      <c r="I793" s="258">
        <v>1</v>
      </c>
    </row>
    <row r="794" spans="1:9" ht="12.75">
      <c r="A794" s="271">
        <v>184</v>
      </c>
      <c r="B794" s="257">
        <v>999</v>
      </c>
      <c r="C794" s="28">
        <v>0</v>
      </c>
      <c r="D794" s="27">
        <v>55</v>
      </c>
      <c r="E794" s="6">
        <v>3.875</v>
      </c>
      <c r="F794" s="256">
        <v>0</v>
      </c>
      <c r="G794" s="258">
        <v>0</v>
      </c>
      <c r="H794" s="256">
        <v>0</v>
      </c>
      <c r="I794" s="258">
        <v>1</v>
      </c>
    </row>
    <row r="795" spans="1:9" ht="12.75">
      <c r="A795" s="271">
        <v>194</v>
      </c>
      <c r="B795" s="257">
        <v>2134</v>
      </c>
      <c r="C795" s="28">
        <v>1</v>
      </c>
      <c r="D795" s="27">
        <v>52</v>
      </c>
      <c r="E795" s="6">
        <v>3.903</v>
      </c>
      <c r="F795" s="256">
        <v>0</v>
      </c>
      <c r="G795" s="258">
        <v>0</v>
      </c>
      <c r="H795" s="256">
        <v>0</v>
      </c>
      <c r="I795" s="258">
        <v>1</v>
      </c>
    </row>
    <row r="796" spans="1:9" ht="12.75">
      <c r="A796" s="271">
        <v>199</v>
      </c>
      <c r="B796" s="257">
        <v>1592</v>
      </c>
      <c r="C796" s="28">
        <v>1</v>
      </c>
      <c r="D796" s="27">
        <v>56</v>
      </c>
      <c r="E796" s="6">
        <v>4.386</v>
      </c>
      <c r="F796" s="256">
        <v>0</v>
      </c>
      <c r="G796" s="258">
        <v>0</v>
      </c>
      <c r="H796" s="256">
        <v>0</v>
      </c>
      <c r="I796" s="258">
        <v>1</v>
      </c>
    </row>
    <row r="797" spans="1:9" ht="12.75">
      <c r="A797" s="271">
        <v>200</v>
      </c>
      <c r="B797" s="257">
        <v>877</v>
      </c>
      <c r="C797" s="28">
        <v>0</v>
      </c>
      <c r="D797" s="27">
        <v>52</v>
      </c>
      <c r="E797" s="6">
        <v>3.959</v>
      </c>
      <c r="F797" s="256">
        <v>0</v>
      </c>
      <c r="G797" s="258">
        <v>0</v>
      </c>
      <c r="H797" s="256">
        <v>0</v>
      </c>
      <c r="I797" s="258">
        <v>1</v>
      </c>
    </row>
    <row r="798" spans="1:9" ht="12.75">
      <c r="A798" s="271">
        <v>205</v>
      </c>
      <c r="B798" s="257">
        <v>2045</v>
      </c>
      <c r="C798" s="28">
        <v>0</v>
      </c>
      <c r="D798" s="27">
        <v>51</v>
      </c>
      <c r="E798" s="6">
        <v>3.977</v>
      </c>
      <c r="F798" s="256">
        <v>0</v>
      </c>
      <c r="G798" s="258">
        <v>0</v>
      </c>
      <c r="H798" s="256">
        <v>0</v>
      </c>
      <c r="I798" s="258">
        <v>1</v>
      </c>
    </row>
    <row r="799" spans="1:9" ht="12.75">
      <c r="A799" s="271">
        <v>207</v>
      </c>
      <c r="B799" s="257">
        <v>1564</v>
      </c>
      <c r="C799" s="28">
        <v>0</v>
      </c>
      <c r="D799" s="27">
        <v>54</v>
      </c>
      <c r="E799" s="6">
        <v>3.973</v>
      </c>
      <c r="F799" s="256">
        <v>0</v>
      </c>
      <c r="G799" s="258">
        <v>0</v>
      </c>
      <c r="H799" s="256">
        <v>0</v>
      </c>
      <c r="I799" s="258">
        <v>1</v>
      </c>
    </row>
    <row r="800" spans="1:9" ht="12.75">
      <c r="A800" s="271">
        <v>219</v>
      </c>
      <c r="B800" s="257">
        <v>3337</v>
      </c>
      <c r="C800" s="28">
        <v>1</v>
      </c>
      <c r="D800" s="27">
        <v>51</v>
      </c>
      <c r="E800" s="6">
        <v>4.062</v>
      </c>
      <c r="F800" s="256">
        <v>0</v>
      </c>
      <c r="G800" s="258">
        <v>0</v>
      </c>
      <c r="H800" s="256">
        <v>0</v>
      </c>
      <c r="I800" s="258">
        <v>1</v>
      </c>
    </row>
    <row r="801" spans="1:9" ht="12.75">
      <c r="A801" s="271">
        <v>224</v>
      </c>
      <c r="B801" s="257">
        <v>1721</v>
      </c>
      <c r="C801" s="28">
        <v>1</v>
      </c>
      <c r="D801" s="27">
        <v>54</v>
      </c>
      <c r="E801" s="6">
        <v>4.734</v>
      </c>
      <c r="F801" s="256">
        <v>0</v>
      </c>
      <c r="G801" s="258">
        <v>0</v>
      </c>
      <c r="H801" s="256">
        <v>0</v>
      </c>
      <c r="I801" s="258">
        <v>1</v>
      </c>
    </row>
    <row r="802" spans="1:9" ht="12.75">
      <c r="A802" s="271">
        <v>227</v>
      </c>
      <c r="B802" s="257">
        <v>152</v>
      </c>
      <c r="C802" s="28">
        <v>0</v>
      </c>
      <c r="D802" s="27">
        <v>54</v>
      </c>
      <c r="E802" s="6">
        <v>4.269</v>
      </c>
      <c r="F802" s="256">
        <v>0</v>
      </c>
      <c r="G802" s="258">
        <v>0</v>
      </c>
      <c r="H802" s="256">
        <v>0</v>
      </c>
      <c r="I802" s="258">
        <v>1</v>
      </c>
    </row>
    <row r="803" spans="1:9" ht="12.75">
      <c r="A803" s="271">
        <v>229</v>
      </c>
      <c r="B803" s="257">
        <v>4534</v>
      </c>
      <c r="C803" s="28">
        <v>0</v>
      </c>
      <c r="D803" s="27">
        <v>52</v>
      </c>
      <c r="E803" s="6">
        <v>4.809</v>
      </c>
      <c r="F803" s="256">
        <v>0</v>
      </c>
      <c r="G803" s="258">
        <v>0</v>
      </c>
      <c r="H803" s="256">
        <v>0</v>
      </c>
      <c r="I803" s="258">
        <v>1</v>
      </c>
    </row>
    <row r="804" spans="1:9" ht="12.75">
      <c r="A804" s="271">
        <v>238</v>
      </c>
      <c r="B804" s="257">
        <v>3114</v>
      </c>
      <c r="C804" s="28">
        <v>1</v>
      </c>
      <c r="D804" s="27">
        <v>56</v>
      </c>
      <c r="E804" s="6">
        <v>3.89</v>
      </c>
      <c r="F804" s="256">
        <v>0</v>
      </c>
      <c r="G804" s="258">
        <v>0</v>
      </c>
      <c r="H804" s="256">
        <v>0</v>
      </c>
      <c r="I804" s="258">
        <v>1</v>
      </c>
    </row>
    <row r="805" spans="1:9" ht="12.75">
      <c r="A805" s="271">
        <v>239</v>
      </c>
      <c r="B805" s="257">
        <v>2992</v>
      </c>
      <c r="C805" s="28">
        <v>1</v>
      </c>
      <c r="D805" s="27">
        <v>54</v>
      </c>
      <c r="E805" s="6">
        <v>4.48</v>
      </c>
      <c r="F805" s="256">
        <v>0</v>
      </c>
      <c r="G805" s="258">
        <v>0</v>
      </c>
      <c r="H805" s="256">
        <v>0</v>
      </c>
      <c r="I805" s="258">
        <v>1</v>
      </c>
    </row>
    <row r="806" spans="1:9" ht="12.75">
      <c r="A806" s="271">
        <v>244</v>
      </c>
      <c r="B806" s="257">
        <v>1090</v>
      </c>
      <c r="C806" s="28">
        <v>0</v>
      </c>
      <c r="D806" s="27">
        <v>52</v>
      </c>
      <c r="E806" s="6">
        <v>4.143</v>
      </c>
      <c r="F806" s="256">
        <v>0</v>
      </c>
      <c r="G806" s="258">
        <v>0</v>
      </c>
      <c r="H806" s="256">
        <v>0</v>
      </c>
      <c r="I806" s="258">
        <v>1</v>
      </c>
    </row>
    <row r="807" spans="1:9" ht="12.75">
      <c r="A807" s="271">
        <v>248</v>
      </c>
      <c r="B807" s="257">
        <v>3868</v>
      </c>
      <c r="C807" s="28">
        <v>1</v>
      </c>
      <c r="D807" s="27">
        <v>53</v>
      </c>
      <c r="E807" s="6">
        <v>4.689</v>
      </c>
      <c r="F807" s="256">
        <v>0</v>
      </c>
      <c r="G807" s="258">
        <v>0</v>
      </c>
      <c r="H807" s="256">
        <v>0</v>
      </c>
      <c r="I807" s="258">
        <v>1</v>
      </c>
    </row>
    <row r="808" spans="1:9" ht="12.75">
      <c r="A808" s="271">
        <v>249</v>
      </c>
      <c r="B808" s="257">
        <v>134</v>
      </c>
      <c r="C808" s="28">
        <v>1</v>
      </c>
      <c r="D808" s="27">
        <v>52</v>
      </c>
      <c r="E808" s="6">
        <v>3.872</v>
      </c>
      <c r="F808" s="256">
        <v>0</v>
      </c>
      <c r="G808" s="258">
        <v>0</v>
      </c>
      <c r="H808" s="256">
        <v>0</v>
      </c>
      <c r="I808" s="258">
        <v>1</v>
      </c>
    </row>
    <row r="809" spans="1:9" ht="12.75">
      <c r="A809" s="271">
        <v>254</v>
      </c>
      <c r="B809" s="257">
        <v>3775</v>
      </c>
      <c r="C809" s="28">
        <v>0</v>
      </c>
      <c r="D809" s="27">
        <v>53</v>
      </c>
      <c r="E809" s="6">
        <v>3.775</v>
      </c>
      <c r="F809" s="256">
        <v>0</v>
      </c>
      <c r="G809" s="258">
        <v>0</v>
      </c>
      <c r="H809" s="256">
        <v>0</v>
      </c>
      <c r="I809" s="258">
        <v>1</v>
      </c>
    </row>
    <row r="810" spans="1:9" s="15" customFormat="1" ht="12.75">
      <c r="A810" s="271">
        <v>259</v>
      </c>
      <c r="B810" s="115">
        <v>2321</v>
      </c>
      <c r="C810" s="254">
        <v>0</v>
      </c>
      <c r="D810" s="27">
        <v>55</v>
      </c>
      <c r="E810" s="6">
        <v>4.565</v>
      </c>
      <c r="F810" s="256">
        <v>0</v>
      </c>
      <c r="G810" s="258">
        <v>0</v>
      </c>
      <c r="H810" s="256">
        <v>0</v>
      </c>
      <c r="I810" s="258">
        <v>1</v>
      </c>
    </row>
    <row r="811" spans="1:9" ht="12.75">
      <c r="A811" s="272">
        <v>266</v>
      </c>
      <c r="B811" s="305">
        <v>2364</v>
      </c>
      <c r="C811" s="306">
        <v>1</v>
      </c>
      <c r="D811" s="30">
        <v>55</v>
      </c>
      <c r="E811" s="8">
        <v>3.86</v>
      </c>
      <c r="F811" s="267">
        <v>0</v>
      </c>
      <c r="G811" s="259">
        <v>0</v>
      </c>
      <c r="H811" s="267">
        <v>0</v>
      </c>
      <c r="I811" s="259">
        <v>1</v>
      </c>
    </row>
    <row r="814" spans="1:7" ht="12.75">
      <c r="A814" s="200" t="s">
        <v>143</v>
      </c>
      <c r="G814" s="200" t="s">
        <v>161</v>
      </c>
    </row>
    <row r="815" spans="1:10" ht="12.75">
      <c r="A815" s="39"/>
      <c r="B815" s="669" t="s">
        <v>177</v>
      </c>
      <c r="C815" s="653"/>
      <c r="D815" s="653"/>
      <c r="E815" s="654"/>
      <c r="F815" s="146"/>
      <c r="G815" s="669" t="s">
        <v>178</v>
      </c>
      <c r="H815" s="653"/>
      <c r="I815" s="653"/>
      <c r="J815" s="654"/>
    </row>
    <row r="816" spans="1:10" ht="13.5" thickBot="1">
      <c r="A816" s="34" t="s">
        <v>142</v>
      </c>
      <c r="B816" s="38" t="s">
        <v>138</v>
      </c>
      <c r="C816" s="36" t="s">
        <v>139</v>
      </c>
      <c r="D816" s="38" t="s">
        <v>140</v>
      </c>
      <c r="E816" s="230" t="s">
        <v>141</v>
      </c>
      <c r="F816" s="146"/>
      <c r="G816" s="34" t="s">
        <v>138</v>
      </c>
      <c r="H816" s="38" t="s">
        <v>139</v>
      </c>
      <c r="I816" s="36" t="s">
        <v>140</v>
      </c>
      <c r="J816" s="38" t="s">
        <v>141</v>
      </c>
    </row>
    <row r="817" spans="1:10" ht="13.5" thickTop="1">
      <c r="A817" s="93">
        <v>1</v>
      </c>
      <c r="B817" s="123">
        <v>53</v>
      </c>
      <c r="C817" s="124">
        <v>52</v>
      </c>
      <c r="D817" s="123">
        <v>52</v>
      </c>
      <c r="E817" s="307">
        <v>53</v>
      </c>
      <c r="G817" s="312">
        <v>2.348</v>
      </c>
      <c r="H817" s="310">
        <v>3.199</v>
      </c>
      <c r="I817" s="147">
        <v>3.586</v>
      </c>
      <c r="J817" s="310">
        <v>4.056</v>
      </c>
    </row>
    <row r="818" spans="1:10" ht="12.75">
      <c r="A818" s="93">
        <v>2</v>
      </c>
      <c r="B818" s="123">
        <v>53</v>
      </c>
      <c r="C818" s="124">
        <v>53</v>
      </c>
      <c r="D818" s="123">
        <v>54</v>
      </c>
      <c r="E818" s="307">
        <v>52</v>
      </c>
      <c r="G818" s="312">
        <v>2.399</v>
      </c>
      <c r="H818" s="310">
        <v>3.346</v>
      </c>
      <c r="I818" s="147">
        <v>3.394</v>
      </c>
      <c r="J818" s="310">
        <v>3.838</v>
      </c>
    </row>
    <row r="819" spans="1:10" ht="12.75">
      <c r="A819" s="93">
        <v>3</v>
      </c>
      <c r="B819" s="123">
        <v>51</v>
      </c>
      <c r="C819" s="124">
        <v>54</v>
      </c>
      <c r="D819" s="123">
        <v>54</v>
      </c>
      <c r="E819" s="307">
        <v>53</v>
      </c>
      <c r="G819" s="312">
        <v>2.105</v>
      </c>
      <c r="H819" s="310">
        <v>3.15</v>
      </c>
      <c r="I819" s="147">
        <v>3.751</v>
      </c>
      <c r="J819" s="310">
        <v>3.999</v>
      </c>
    </row>
    <row r="820" spans="1:10" ht="12.75">
      <c r="A820" s="93">
        <v>4</v>
      </c>
      <c r="B820" s="123">
        <v>53</v>
      </c>
      <c r="C820" s="124">
        <v>54</v>
      </c>
      <c r="D820" s="123">
        <v>55</v>
      </c>
      <c r="E820" s="307">
        <v>55</v>
      </c>
      <c r="G820" s="312">
        <v>3.057</v>
      </c>
      <c r="H820" s="310">
        <v>3.098</v>
      </c>
      <c r="I820" s="147">
        <v>3.524</v>
      </c>
      <c r="J820" s="310">
        <v>4.519</v>
      </c>
    </row>
    <row r="821" spans="1:10" ht="12.75">
      <c r="A821" s="93">
        <v>5</v>
      </c>
      <c r="B821" s="123">
        <v>53</v>
      </c>
      <c r="C821" s="124">
        <v>55</v>
      </c>
      <c r="D821" s="123">
        <v>55</v>
      </c>
      <c r="E821" s="307">
        <v>54</v>
      </c>
      <c r="G821" s="312">
        <v>2.097</v>
      </c>
      <c r="H821" s="310">
        <v>3.347</v>
      </c>
      <c r="I821" s="147">
        <v>3.65</v>
      </c>
      <c r="J821" s="310">
        <v>3.779</v>
      </c>
    </row>
    <row r="822" spans="1:10" ht="12.75">
      <c r="A822" s="93">
        <v>6</v>
      </c>
      <c r="B822" s="123">
        <v>52</v>
      </c>
      <c r="C822" s="124">
        <v>52</v>
      </c>
      <c r="D822" s="123">
        <v>56</v>
      </c>
      <c r="E822" s="307">
        <v>52</v>
      </c>
      <c r="G822" s="312">
        <v>2.393</v>
      </c>
      <c r="H822" s="310">
        <v>3.156</v>
      </c>
      <c r="I822" s="147">
        <v>3.449</v>
      </c>
      <c r="J822" s="310">
        <v>4.313</v>
      </c>
    </row>
    <row r="823" spans="1:10" ht="12.75">
      <c r="A823" s="93">
        <v>7</v>
      </c>
      <c r="B823" s="123">
        <v>53</v>
      </c>
      <c r="C823" s="124">
        <v>55</v>
      </c>
      <c r="D823" s="123">
        <v>55</v>
      </c>
      <c r="E823" s="307">
        <v>53</v>
      </c>
      <c r="G823" s="312">
        <v>2.989</v>
      </c>
      <c r="H823" s="310">
        <v>3.245</v>
      </c>
      <c r="I823" s="147">
        <v>3.553</v>
      </c>
      <c r="J823" s="310">
        <v>4.243</v>
      </c>
    </row>
    <row r="824" spans="1:10" ht="12.75">
      <c r="A824" s="93">
        <v>8</v>
      </c>
      <c r="B824" s="123">
        <v>52</v>
      </c>
      <c r="C824" s="124">
        <v>55</v>
      </c>
      <c r="D824" s="123">
        <v>53</v>
      </c>
      <c r="E824" s="307">
        <v>56</v>
      </c>
      <c r="G824" s="312">
        <v>2.18</v>
      </c>
      <c r="H824" s="310">
        <v>3.152</v>
      </c>
      <c r="I824" s="147">
        <v>3.747</v>
      </c>
      <c r="J824" s="310">
        <v>4.469</v>
      </c>
    </row>
    <row r="825" spans="1:10" ht="12.75">
      <c r="A825" s="93">
        <v>9</v>
      </c>
      <c r="B825" s="123">
        <v>51</v>
      </c>
      <c r="C825" s="124">
        <v>53</v>
      </c>
      <c r="D825" s="123">
        <v>55</v>
      </c>
      <c r="E825" s="307">
        <v>54</v>
      </c>
      <c r="G825" s="312">
        <v>2.453</v>
      </c>
      <c r="H825" s="310">
        <v>3.35</v>
      </c>
      <c r="I825" s="147">
        <v>3.654</v>
      </c>
      <c r="J825" s="310">
        <v>4.173</v>
      </c>
    </row>
    <row r="826" spans="1:10" ht="12.75">
      <c r="A826" s="93">
        <v>10</v>
      </c>
      <c r="B826" s="123">
        <v>52</v>
      </c>
      <c r="C826" s="124">
        <v>52</v>
      </c>
      <c r="D826" s="123">
        <v>54</v>
      </c>
      <c r="E826" s="307">
        <v>55</v>
      </c>
      <c r="G826" s="312">
        <v>2.851</v>
      </c>
      <c r="H826" s="310">
        <v>3.321</v>
      </c>
      <c r="I826" s="147">
        <v>3.541</v>
      </c>
      <c r="J826" s="310">
        <v>3.841</v>
      </c>
    </row>
    <row r="827" spans="1:10" ht="12.75">
      <c r="A827" s="93">
        <v>11</v>
      </c>
      <c r="B827" s="123">
        <v>53</v>
      </c>
      <c r="C827" s="124">
        <v>56</v>
      </c>
      <c r="D827" s="123">
        <v>54</v>
      </c>
      <c r="E827" s="307">
        <v>52</v>
      </c>
      <c r="G827" s="312">
        <v>2.583</v>
      </c>
      <c r="H827" s="310">
        <v>3.36</v>
      </c>
      <c r="I827" s="147">
        <v>3.593</v>
      </c>
      <c r="J827" s="310">
        <v>3.876</v>
      </c>
    </row>
    <row r="828" spans="1:10" ht="12.75">
      <c r="A828" s="93">
        <v>12</v>
      </c>
      <c r="B828" s="123">
        <v>55</v>
      </c>
      <c r="C828" s="124">
        <v>51</v>
      </c>
      <c r="D828" s="123">
        <v>52</v>
      </c>
      <c r="E828" s="307">
        <v>52</v>
      </c>
      <c r="G828" s="312">
        <v>3.01</v>
      </c>
      <c r="H828" s="310">
        <v>3.301</v>
      </c>
      <c r="I828" s="147">
        <v>3.753</v>
      </c>
      <c r="J828" s="310">
        <v>4.362</v>
      </c>
    </row>
    <row r="829" spans="1:10" ht="12.75">
      <c r="A829" s="93">
        <v>13</v>
      </c>
      <c r="B829" s="123">
        <v>52</v>
      </c>
      <c r="C829" s="124">
        <v>54</v>
      </c>
      <c r="D829" s="123">
        <v>52</v>
      </c>
      <c r="E829" s="307">
        <v>52</v>
      </c>
      <c r="G829" s="312">
        <v>2.323</v>
      </c>
      <c r="H829" s="310">
        <v>3.464</v>
      </c>
      <c r="I829" s="147">
        <v>3.796</v>
      </c>
      <c r="J829" s="310">
        <v>4.459</v>
      </c>
    </row>
    <row r="830" spans="1:10" ht="12.75">
      <c r="A830" s="93">
        <v>14</v>
      </c>
      <c r="B830" s="123">
        <v>53</v>
      </c>
      <c r="C830" s="124">
        <v>56</v>
      </c>
      <c r="D830" s="123">
        <v>52</v>
      </c>
      <c r="E830" s="307">
        <v>52</v>
      </c>
      <c r="G830" s="312">
        <v>3.128</v>
      </c>
      <c r="H830" s="310">
        <v>3.341</v>
      </c>
      <c r="I830" s="147">
        <v>4.091</v>
      </c>
      <c r="J830" s="310">
        <v>3.954</v>
      </c>
    </row>
    <row r="831" spans="1:10" ht="12.75">
      <c r="A831" s="93">
        <v>15</v>
      </c>
      <c r="B831" s="123">
        <v>56</v>
      </c>
      <c r="C831" s="124">
        <v>52</v>
      </c>
      <c r="D831" s="123">
        <v>52</v>
      </c>
      <c r="E831" s="307">
        <v>51</v>
      </c>
      <c r="G831" s="312">
        <v>2.367</v>
      </c>
      <c r="H831" s="310">
        <v>3.242</v>
      </c>
      <c r="I831" s="147">
        <v>3.558</v>
      </c>
      <c r="J831" s="310">
        <v>4.044</v>
      </c>
    </row>
    <row r="832" spans="1:10" ht="12.75">
      <c r="A832" s="93">
        <v>16</v>
      </c>
      <c r="B832" s="123">
        <v>52</v>
      </c>
      <c r="C832" s="124">
        <v>54</v>
      </c>
      <c r="D832" s="123">
        <v>54</v>
      </c>
      <c r="E832" s="307">
        <v>54</v>
      </c>
      <c r="G832" s="312">
        <v>2.781</v>
      </c>
      <c r="H832" s="310">
        <v>3.216</v>
      </c>
      <c r="I832" s="147">
        <v>3.592</v>
      </c>
      <c r="J832" s="310">
        <v>3.869</v>
      </c>
    </row>
    <row r="833" spans="1:10" ht="12.75">
      <c r="A833" s="93">
        <v>17</v>
      </c>
      <c r="B833" s="123">
        <v>51</v>
      </c>
      <c r="C833" s="124">
        <v>53</v>
      </c>
      <c r="D833" s="123">
        <v>51</v>
      </c>
      <c r="E833" s="307">
        <v>55</v>
      </c>
      <c r="G833" s="312">
        <v>2.487</v>
      </c>
      <c r="H833" s="310">
        <v>3.127</v>
      </c>
      <c r="I833" s="147">
        <v>3.504</v>
      </c>
      <c r="J833" s="310">
        <v>3.83</v>
      </c>
    </row>
    <row r="834" spans="1:10" ht="12.75">
      <c r="A834" s="93">
        <v>18</v>
      </c>
      <c r="B834" s="123">
        <v>51</v>
      </c>
      <c r="C834" s="124">
        <v>53</v>
      </c>
      <c r="D834" s="123">
        <v>56</v>
      </c>
      <c r="E834" s="307">
        <v>55</v>
      </c>
      <c r="G834" s="312">
        <v>2.536</v>
      </c>
      <c r="H834" s="310">
        <v>3.337</v>
      </c>
      <c r="I834" s="147">
        <v>3.374</v>
      </c>
      <c r="J834" s="310">
        <v>4.519</v>
      </c>
    </row>
    <row r="835" spans="1:10" ht="12.75">
      <c r="A835" s="93">
        <v>19</v>
      </c>
      <c r="B835" s="123">
        <v>51</v>
      </c>
      <c r="C835" s="124">
        <v>54</v>
      </c>
      <c r="D835" s="123">
        <v>51</v>
      </c>
      <c r="E835" s="307">
        <v>50</v>
      </c>
      <c r="G835" s="312">
        <v>2.331</v>
      </c>
      <c r="H835" s="310">
        <v>3.468</v>
      </c>
      <c r="I835" s="147">
        <v>3.572</v>
      </c>
      <c r="J835" s="310">
        <v>4.039</v>
      </c>
    </row>
    <row r="836" spans="1:10" ht="12.75">
      <c r="A836" s="93">
        <v>20</v>
      </c>
      <c r="B836" s="123">
        <v>51</v>
      </c>
      <c r="C836" s="124">
        <v>53</v>
      </c>
      <c r="D836" s="123">
        <v>54</v>
      </c>
      <c r="E836" s="307">
        <v>56</v>
      </c>
      <c r="G836" s="312">
        <v>2.467</v>
      </c>
      <c r="H836" s="310">
        <v>3.231</v>
      </c>
      <c r="I836" s="147">
        <v>3.698</v>
      </c>
      <c r="J836" s="310">
        <v>4.477</v>
      </c>
    </row>
    <row r="837" spans="1:10" ht="12.75">
      <c r="A837" s="93">
        <v>21</v>
      </c>
      <c r="B837" s="123">
        <v>52</v>
      </c>
      <c r="C837" s="124">
        <v>55</v>
      </c>
      <c r="D837" s="123">
        <v>51</v>
      </c>
      <c r="E837" s="307">
        <v>52</v>
      </c>
      <c r="G837" s="312">
        <v>2.96</v>
      </c>
      <c r="H837" s="310">
        <v>3.001</v>
      </c>
      <c r="I837" s="147">
        <v>3.64</v>
      </c>
      <c r="J837" s="310">
        <v>4.862</v>
      </c>
    </row>
    <row r="838" spans="1:10" ht="12.75">
      <c r="A838" s="93">
        <v>22</v>
      </c>
      <c r="B838" s="123">
        <v>52</v>
      </c>
      <c r="C838" s="124">
        <v>52</v>
      </c>
      <c r="D838" s="123">
        <v>51</v>
      </c>
      <c r="E838" s="307">
        <v>52</v>
      </c>
      <c r="G838" s="312">
        <v>2.744</v>
      </c>
      <c r="H838" s="310">
        <v>3.268</v>
      </c>
      <c r="I838" s="147">
        <v>3.564</v>
      </c>
      <c r="J838" s="310">
        <v>4.719</v>
      </c>
    </row>
    <row r="839" spans="1:10" ht="12.75">
      <c r="A839" s="93">
        <v>23</v>
      </c>
      <c r="B839" s="123">
        <v>54</v>
      </c>
      <c r="C839" s="124">
        <v>53</v>
      </c>
      <c r="D839" s="123">
        <v>54</v>
      </c>
      <c r="E839" s="307">
        <v>51</v>
      </c>
      <c r="G839" s="312">
        <v>2.953</v>
      </c>
      <c r="H839" s="310">
        <v>3.281</v>
      </c>
      <c r="I839" s="147">
        <v>3.692</v>
      </c>
      <c r="J839" s="310">
        <v>4.048</v>
      </c>
    </row>
    <row r="840" spans="1:10" ht="12.75">
      <c r="A840" s="93">
        <v>24</v>
      </c>
      <c r="B840" s="123">
        <v>52</v>
      </c>
      <c r="C840" s="124">
        <v>55</v>
      </c>
      <c r="D840" s="123">
        <v>52</v>
      </c>
      <c r="E840" s="307">
        <v>54</v>
      </c>
      <c r="G840" s="312">
        <v>2.751</v>
      </c>
      <c r="H840" s="310">
        <v>3.398</v>
      </c>
      <c r="I840" s="147">
        <v>2.837</v>
      </c>
      <c r="J840" s="310">
        <v>3.763</v>
      </c>
    </row>
    <row r="841" spans="1:10" ht="12.75">
      <c r="A841" s="93">
        <v>25</v>
      </c>
      <c r="B841" s="123">
        <v>52</v>
      </c>
      <c r="C841" s="124">
        <v>53</v>
      </c>
      <c r="D841" s="123">
        <v>55</v>
      </c>
      <c r="E841" s="307">
        <v>55</v>
      </c>
      <c r="G841" s="312">
        <v>2.085</v>
      </c>
      <c r="H841" s="310">
        <v>3.203</v>
      </c>
      <c r="I841" s="147">
        <v>3.584</v>
      </c>
      <c r="J841" s="310">
        <v>4.434</v>
      </c>
    </row>
    <row r="842" spans="1:10" ht="12.75">
      <c r="A842" s="93">
        <v>26</v>
      </c>
      <c r="B842" s="123">
        <v>52</v>
      </c>
      <c r="C842" s="124">
        <v>50</v>
      </c>
      <c r="D842" s="123">
        <v>55</v>
      </c>
      <c r="E842" s="307">
        <v>53</v>
      </c>
      <c r="G842" s="312">
        <v>2.976</v>
      </c>
      <c r="H842" s="310">
        <v>3.395</v>
      </c>
      <c r="I842" s="147">
        <v>3.594</v>
      </c>
      <c r="J842" s="310">
        <v>4.038</v>
      </c>
    </row>
    <row r="843" spans="1:10" ht="12.75">
      <c r="A843" s="93">
        <v>27</v>
      </c>
      <c r="B843" s="123">
        <v>52</v>
      </c>
      <c r="C843" s="124">
        <v>52</v>
      </c>
      <c r="D843" s="123">
        <v>51</v>
      </c>
      <c r="E843" s="307">
        <v>55</v>
      </c>
      <c r="G843" s="312">
        <v>2.318</v>
      </c>
      <c r="H843" s="310">
        <v>3.137</v>
      </c>
      <c r="I843" s="147">
        <v>3.593</v>
      </c>
      <c r="J843" s="310">
        <v>4.569</v>
      </c>
    </row>
    <row r="844" spans="1:10" ht="12.75">
      <c r="A844" s="93">
        <v>28</v>
      </c>
      <c r="B844" s="123">
        <v>52</v>
      </c>
      <c r="C844" s="124">
        <v>52</v>
      </c>
      <c r="D844" s="123">
        <v>50</v>
      </c>
      <c r="E844" s="307">
        <v>51</v>
      </c>
      <c r="G844" s="312">
        <v>2.878</v>
      </c>
      <c r="H844" s="310">
        <v>3.239</v>
      </c>
      <c r="I844" s="147">
        <v>3.66</v>
      </c>
      <c r="J844" s="310">
        <v>4.094</v>
      </c>
    </row>
    <row r="845" spans="1:10" ht="12.75">
      <c r="A845" s="93">
        <v>29</v>
      </c>
      <c r="B845" s="123">
        <v>53</v>
      </c>
      <c r="C845" s="124">
        <v>51</v>
      </c>
      <c r="D845" s="123">
        <v>51</v>
      </c>
      <c r="E845" s="307">
        <v>51</v>
      </c>
      <c r="G845" s="312">
        <v>2.354</v>
      </c>
      <c r="H845" s="310">
        <v>3.257</v>
      </c>
      <c r="I845" s="147">
        <v>3.56</v>
      </c>
      <c r="J845" s="310">
        <v>4.401</v>
      </c>
    </row>
    <row r="846" spans="1:10" ht="12.75">
      <c r="A846" s="93">
        <v>30</v>
      </c>
      <c r="B846" s="123">
        <v>52</v>
      </c>
      <c r="C846" s="124">
        <v>54</v>
      </c>
      <c r="D846" s="123">
        <v>54</v>
      </c>
      <c r="E846" s="307">
        <v>51</v>
      </c>
      <c r="G846" s="312">
        <v>2.218</v>
      </c>
      <c r="H846" s="310">
        <v>3.259</v>
      </c>
      <c r="I846" s="147">
        <v>3.602</v>
      </c>
      <c r="J846" s="310">
        <v>4.049</v>
      </c>
    </row>
    <row r="847" spans="1:10" ht="12.75">
      <c r="A847" s="93">
        <v>31</v>
      </c>
      <c r="B847" s="123">
        <v>52</v>
      </c>
      <c r="C847" s="124">
        <v>53</v>
      </c>
      <c r="D847" s="123">
        <v>52</v>
      </c>
      <c r="E847" s="307">
        <v>51</v>
      </c>
      <c r="G847" s="312">
        <v>3.088</v>
      </c>
      <c r="H847" s="310">
        <v>3.219</v>
      </c>
      <c r="I847" s="147">
        <v>3.568</v>
      </c>
      <c r="J847" s="310">
        <v>4.418</v>
      </c>
    </row>
    <row r="848" spans="1:10" ht="12.75">
      <c r="A848" s="93">
        <v>32</v>
      </c>
      <c r="B848" s="123">
        <v>51</v>
      </c>
      <c r="C848" s="124">
        <v>54</v>
      </c>
      <c r="D848" s="123">
        <v>53</v>
      </c>
      <c r="E848" s="307">
        <v>51</v>
      </c>
      <c r="G848" s="312">
        <v>2.893</v>
      </c>
      <c r="H848" s="310">
        <v>3.346</v>
      </c>
      <c r="I848" s="147">
        <v>3.491</v>
      </c>
      <c r="J848" s="310">
        <v>3.96</v>
      </c>
    </row>
    <row r="849" spans="1:10" ht="12.75">
      <c r="A849" s="93">
        <v>33</v>
      </c>
      <c r="B849" s="123">
        <v>52</v>
      </c>
      <c r="C849" s="124">
        <v>52</v>
      </c>
      <c r="D849" s="123">
        <v>53</v>
      </c>
      <c r="E849" s="307">
        <v>54</v>
      </c>
      <c r="G849" s="312">
        <v>3.026</v>
      </c>
      <c r="H849" s="310">
        <v>3.342</v>
      </c>
      <c r="I849" s="147">
        <v>3.579</v>
      </c>
      <c r="J849" s="310">
        <v>4.002</v>
      </c>
    </row>
    <row r="850" spans="1:10" ht="12.75">
      <c r="A850" s="93">
        <v>34</v>
      </c>
      <c r="B850" s="123">
        <v>55</v>
      </c>
      <c r="C850" s="124">
        <v>51</v>
      </c>
      <c r="D850" s="123">
        <v>52</v>
      </c>
      <c r="E850" s="307">
        <v>53</v>
      </c>
      <c r="G850" s="312">
        <v>2.992</v>
      </c>
      <c r="H850" s="310">
        <v>3.182</v>
      </c>
      <c r="I850" s="147">
        <v>3.493</v>
      </c>
      <c r="J850" s="310">
        <v>3.973</v>
      </c>
    </row>
    <row r="851" spans="1:10" ht="12.75">
      <c r="A851" s="93">
        <v>35</v>
      </c>
      <c r="B851" s="123">
        <v>54</v>
      </c>
      <c r="C851" s="124">
        <v>55</v>
      </c>
      <c r="D851" s="123">
        <v>54</v>
      </c>
      <c r="E851" s="307">
        <v>55</v>
      </c>
      <c r="G851" s="312">
        <v>3.047</v>
      </c>
      <c r="H851" s="310">
        <v>3.313</v>
      </c>
      <c r="I851" s="147">
        <v>3.737</v>
      </c>
      <c r="J851" s="310">
        <v>3.875</v>
      </c>
    </row>
    <row r="852" spans="1:10" ht="12.75">
      <c r="A852" s="93">
        <v>36</v>
      </c>
      <c r="B852" s="123">
        <v>55</v>
      </c>
      <c r="C852" s="124">
        <v>50</v>
      </c>
      <c r="D852" s="123">
        <v>54</v>
      </c>
      <c r="E852" s="307">
        <v>52</v>
      </c>
      <c r="G852" s="312">
        <v>2.886</v>
      </c>
      <c r="H852" s="310">
        <v>3.432</v>
      </c>
      <c r="I852" s="147">
        <v>3.643</v>
      </c>
      <c r="J852" s="310">
        <v>3.903</v>
      </c>
    </row>
    <row r="853" spans="1:10" ht="12.75">
      <c r="A853" s="93">
        <v>37</v>
      </c>
      <c r="B853" s="123">
        <v>55</v>
      </c>
      <c r="C853" s="124">
        <v>55</v>
      </c>
      <c r="D853" s="123">
        <v>53</v>
      </c>
      <c r="E853" s="307">
        <v>56</v>
      </c>
      <c r="G853" s="312">
        <v>2.905</v>
      </c>
      <c r="H853" s="310">
        <v>3.071</v>
      </c>
      <c r="I853" s="147">
        <v>3.646</v>
      </c>
      <c r="J853" s="310">
        <v>4.386</v>
      </c>
    </row>
    <row r="854" spans="1:10" ht="12.75">
      <c r="A854" s="93">
        <v>38</v>
      </c>
      <c r="B854" s="123">
        <v>53</v>
      </c>
      <c r="C854" s="124">
        <v>52</v>
      </c>
      <c r="D854" s="123">
        <v>54</v>
      </c>
      <c r="E854" s="307">
        <v>52</v>
      </c>
      <c r="G854" s="312">
        <v>3.043</v>
      </c>
      <c r="H854" s="310">
        <v>3.234</v>
      </c>
      <c r="I854" s="147">
        <v>3.819</v>
      </c>
      <c r="J854" s="310">
        <v>3.959</v>
      </c>
    </row>
    <row r="855" spans="1:10" ht="12.75">
      <c r="A855" s="93">
        <v>39</v>
      </c>
      <c r="B855" s="123">
        <v>55</v>
      </c>
      <c r="C855" s="124">
        <v>52</v>
      </c>
      <c r="D855" s="123">
        <v>54</v>
      </c>
      <c r="E855" s="307">
        <v>51</v>
      </c>
      <c r="G855" s="312">
        <v>2.901</v>
      </c>
      <c r="H855" s="310">
        <v>3.334</v>
      </c>
      <c r="I855" s="147">
        <v>3.763</v>
      </c>
      <c r="J855" s="310">
        <v>3.977</v>
      </c>
    </row>
    <row r="856" spans="1:10" ht="12.75">
      <c r="A856" s="93">
        <v>40</v>
      </c>
      <c r="B856" s="123">
        <v>53</v>
      </c>
      <c r="C856" s="124">
        <v>53</v>
      </c>
      <c r="D856" s="123">
        <v>55</v>
      </c>
      <c r="E856" s="307">
        <v>54</v>
      </c>
      <c r="G856" s="312">
        <v>2.975</v>
      </c>
      <c r="H856" s="310">
        <v>3.17</v>
      </c>
      <c r="I856" s="147">
        <v>3.748</v>
      </c>
      <c r="J856" s="310">
        <v>3.973</v>
      </c>
    </row>
    <row r="857" spans="1:10" ht="12.75">
      <c r="A857" s="93">
        <v>41</v>
      </c>
      <c r="B857" s="123">
        <v>51</v>
      </c>
      <c r="C857" s="124">
        <v>55</v>
      </c>
      <c r="D857" s="123">
        <v>54</v>
      </c>
      <c r="E857" s="307">
        <v>51</v>
      </c>
      <c r="G857" s="312">
        <v>3.067</v>
      </c>
      <c r="H857" s="310">
        <v>3.089</v>
      </c>
      <c r="I857" s="147">
        <v>3.713</v>
      </c>
      <c r="J857" s="310">
        <v>4.062</v>
      </c>
    </row>
    <row r="858" spans="1:10" ht="12.75">
      <c r="A858" s="93">
        <v>42</v>
      </c>
      <c r="B858" s="123">
        <v>53</v>
      </c>
      <c r="C858" s="124">
        <v>50</v>
      </c>
      <c r="D858" s="123">
        <v>53</v>
      </c>
      <c r="E858" s="307">
        <v>54</v>
      </c>
      <c r="G858" s="312">
        <v>3.008</v>
      </c>
      <c r="H858" s="310">
        <v>3.459</v>
      </c>
      <c r="I858" s="147">
        <v>3.749</v>
      </c>
      <c r="J858" s="310">
        <v>4.734</v>
      </c>
    </row>
    <row r="859" spans="1:10" ht="12.75">
      <c r="A859" s="93">
        <v>43</v>
      </c>
      <c r="B859" s="123">
        <v>56</v>
      </c>
      <c r="C859" s="124">
        <v>55</v>
      </c>
      <c r="D859" s="123">
        <v>55</v>
      </c>
      <c r="E859" s="307">
        <v>54</v>
      </c>
      <c r="G859" s="312">
        <v>2.952</v>
      </c>
      <c r="H859" s="310">
        <v>3.472</v>
      </c>
      <c r="I859" s="147">
        <v>3.539</v>
      </c>
      <c r="J859" s="310">
        <v>4.269</v>
      </c>
    </row>
    <row r="860" spans="1:10" ht="12.75">
      <c r="A860" s="93">
        <v>44</v>
      </c>
      <c r="B860" s="123">
        <v>53</v>
      </c>
      <c r="C860" s="124">
        <v>53</v>
      </c>
      <c r="D860" s="123">
        <v>53</v>
      </c>
      <c r="E860" s="307">
        <v>52</v>
      </c>
      <c r="G860" s="312">
        <v>2.604</v>
      </c>
      <c r="H860" s="310">
        <v>2.177</v>
      </c>
      <c r="I860" s="147">
        <v>3.83</v>
      </c>
      <c r="J860" s="310">
        <v>4.809</v>
      </c>
    </row>
    <row r="861" spans="1:10" ht="12.75">
      <c r="A861" s="93">
        <v>45</v>
      </c>
      <c r="B861" s="123">
        <v>51</v>
      </c>
      <c r="C861" s="124">
        <v>53</v>
      </c>
      <c r="D861" s="123">
        <v>55</v>
      </c>
      <c r="E861" s="307">
        <v>56</v>
      </c>
      <c r="G861" s="312">
        <v>2.813</v>
      </c>
      <c r="H861" s="310">
        <v>3.314</v>
      </c>
      <c r="I861" s="147">
        <v>3.531</v>
      </c>
      <c r="J861" s="310">
        <v>3.89</v>
      </c>
    </row>
    <row r="862" spans="1:10" ht="12.75">
      <c r="A862" s="93">
        <v>46</v>
      </c>
      <c r="B862" s="123">
        <v>51</v>
      </c>
      <c r="C862" s="124">
        <v>52</v>
      </c>
      <c r="D862" s="123">
        <v>54</v>
      </c>
      <c r="E862" s="307">
        <v>54</v>
      </c>
      <c r="G862" s="312">
        <v>2.521</v>
      </c>
      <c r="H862" s="310">
        <v>3.323</v>
      </c>
      <c r="I862" s="147">
        <v>3.551</v>
      </c>
      <c r="J862" s="310">
        <v>4.48</v>
      </c>
    </row>
    <row r="863" spans="1:10" ht="12.75">
      <c r="A863" s="93">
        <v>47</v>
      </c>
      <c r="B863" s="123">
        <v>53</v>
      </c>
      <c r="C863" s="124">
        <v>52</v>
      </c>
      <c r="D863" s="123">
        <v>53</v>
      </c>
      <c r="E863" s="307">
        <v>52</v>
      </c>
      <c r="G863" s="312">
        <v>2.969</v>
      </c>
      <c r="H863" s="310">
        <v>3.355</v>
      </c>
      <c r="I863" s="147">
        <v>3.527</v>
      </c>
      <c r="J863" s="310">
        <v>4.143</v>
      </c>
    </row>
    <row r="864" spans="1:10" ht="12.75">
      <c r="A864" s="93">
        <v>48</v>
      </c>
      <c r="B864" s="123">
        <v>55</v>
      </c>
      <c r="C864" s="124">
        <v>53</v>
      </c>
      <c r="D864" s="123">
        <v>55</v>
      </c>
      <c r="E864" s="307">
        <v>53</v>
      </c>
      <c r="G864" s="312">
        <v>2.981</v>
      </c>
      <c r="H864" s="310">
        <v>3.095</v>
      </c>
      <c r="I864" s="147">
        <v>3.8</v>
      </c>
      <c r="J864" s="310">
        <v>4.689</v>
      </c>
    </row>
    <row r="865" spans="1:10" ht="12.75">
      <c r="A865" s="93">
        <v>49</v>
      </c>
      <c r="B865" s="123">
        <v>51</v>
      </c>
      <c r="C865" s="124">
        <v>52</v>
      </c>
      <c r="D865" s="123">
        <v>54</v>
      </c>
      <c r="E865" s="307">
        <v>52</v>
      </c>
      <c r="G865" s="312">
        <v>2.211</v>
      </c>
      <c r="H865" s="310">
        <v>3.344</v>
      </c>
      <c r="I865" s="147">
        <v>3.617</v>
      </c>
      <c r="J865" s="310">
        <v>3.872</v>
      </c>
    </row>
    <row r="866" spans="1:10" ht="12.75">
      <c r="A866" s="93">
        <v>50</v>
      </c>
      <c r="B866" s="123">
        <v>52</v>
      </c>
      <c r="C866" s="124">
        <v>52</v>
      </c>
      <c r="D866" s="123">
        <v>53</v>
      </c>
      <c r="E866" s="307">
        <v>53</v>
      </c>
      <c r="G866" s="312">
        <v>2.748</v>
      </c>
      <c r="H866" s="310">
        <v>3.507</v>
      </c>
      <c r="I866" s="147">
        <v>3.419</v>
      </c>
      <c r="J866" s="310">
        <v>3.775</v>
      </c>
    </row>
    <row r="867" spans="1:10" ht="12.75">
      <c r="A867" s="93">
        <v>51</v>
      </c>
      <c r="B867" s="4"/>
      <c r="C867" s="124">
        <v>54</v>
      </c>
      <c r="D867" s="123">
        <v>53</v>
      </c>
      <c r="E867" s="307">
        <v>55</v>
      </c>
      <c r="G867" s="14"/>
      <c r="H867" s="310">
        <v>3.39</v>
      </c>
      <c r="I867" s="147">
        <v>3.724</v>
      </c>
      <c r="J867" s="311">
        <v>4.565</v>
      </c>
    </row>
    <row r="868" spans="1:10" ht="12.75">
      <c r="A868" s="93">
        <v>52</v>
      </c>
      <c r="B868" s="4"/>
      <c r="C868" s="124">
        <v>53</v>
      </c>
      <c r="D868" s="123">
        <v>56</v>
      </c>
      <c r="E868" s="307">
        <v>55</v>
      </c>
      <c r="G868" s="14"/>
      <c r="H868" s="310">
        <v>3.416</v>
      </c>
      <c r="I868" s="147">
        <v>3.601</v>
      </c>
      <c r="J868" s="310">
        <v>3.86</v>
      </c>
    </row>
    <row r="869" spans="1:10" ht="12.75">
      <c r="A869" s="93">
        <v>53</v>
      </c>
      <c r="B869" s="4"/>
      <c r="C869" s="124">
        <v>54</v>
      </c>
      <c r="D869" s="123">
        <v>53</v>
      </c>
      <c r="E869" s="308"/>
      <c r="G869" s="14"/>
      <c r="H869" s="310">
        <v>3.31</v>
      </c>
      <c r="I869" s="147">
        <v>2.938</v>
      </c>
      <c r="J869" s="4"/>
    </row>
    <row r="870" spans="1:10" ht="12.75">
      <c r="A870" s="93">
        <v>54</v>
      </c>
      <c r="B870" s="4"/>
      <c r="C870" s="124">
        <v>52</v>
      </c>
      <c r="D870" s="123">
        <v>53</v>
      </c>
      <c r="E870" s="62"/>
      <c r="G870" s="14"/>
      <c r="H870" s="310">
        <v>3.319</v>
      </c>
      <c r="I870" s="147">
        <v>3.478</v>
      </c>
      <c r="J870" s="4"/>
    </row>
    <row r="871" spans="1:10" ht="12.75">
      <c r="A871" s="93">
        <v>55</v>
      </c>
      <c r="B871" s="4"/>
      <c r="C871" s="124">
        <v>52</v>
      </c>
      <c r="D871" s="123">
        <v>56</v>
      </c>
      <c r="E871" s="62"/>
      <c r="G871" s="14"/>
      <c r="H871" s="310">
        <v>3.366</v>
      </c>
      <c r="I871" s="147">
        <v>3.687</v>
      </c>
      <c r="J871" s="4"/>
    </row>
    <row r="872" spans="1:10" ht="12.75">
      <c r="A872" s="93">
        <v>56</v>
      </c>
      <c r="B872" s="4"/>
      <c r="C872" s="124">
        <v>54</v>
      </c>
      <c r="D872" s="123">
        <v>54</v>
      </c>
      <c r="E872" s="62"/>
      <c r="G872" s="14"/>
      <c r="H872" s="310">
        <v>3.368</v>
      </c>
      <c r="I872" s="147">
        <v>3.632</v>
      </c>
      <c r="J872" s="4"/>
    </row>
    <row r="873" spans="1:10" ht="12.75">
      <c r="A873" s="93">
        <v>57</v>
      </c>
      <c r="B873" s="4"/>
      <c r="C873" s="124">
        <v>52</v>
      </c>
      <c r="D873" s="123">
        <v>55</v>
      </c>
      <c r="E873" s="62"/>
      <c r="G873" s="14"/>
      <c r="H873" s="310">
        <v>3.321</v>
      </c>
      <c r="I873" s="147">
        <v>3.836</v>
      </c>
      <c r="J873" s="4"/>
    </row>
    <row r="874" spans="1:10" ht="12.75">
      <c r="A874" s="93">
        <v>58</v>
      </c>
      <c r="B874" s="4"/>
      <c r="C874" s="124">
        <v>54</v>
      </c>
      <c r="D874" s="123">
        <v>56</v>
      </c>
      <c r="E874" s="62"/>
      <c r="G874" s="14"/>
      <c r="H874" s="310">
        <v>3.228</v>
      </c>
      <c r="I874" s="147">
        <v>3.656</v>
      </c>
      <c r="J874" s="4"/>
    </row>
    <row r="875" spans="1:10" ht="12.75">
      <c r="A875" s="93">
        <v>59</v>
      </c>
      <c r="B875" s="4"/>
      <c r="C875" s="124">
        <v>53</v>
      </c>
      <c r="D875" s="123">
        <v>52</v>
      </c>
      <c r="E875" s="62"/>
      <c r="G875" s="14"/>
      <c r="H875" s="310">
        <v>3.334</v>
      </c>
      <c r="I875" s="147">
        <v>3.479</v>
      </c>
      <c r="J875" s="4"/>
    </row>
    <row r="876" spans="1:10" ht="12.75">
      <c r="A876" s="93">
        <v>60</v>
      </c>
      <c r="B876" s="4"/>
      <c r="C876" s="124">
        <v>52</v>
      </c>
      <c r="D876" s="123">
        <v>51</v>
      </c>
      <c r="E876" s="62"/>
      <c r="G876" s="14"/>
      <c r="H876" s="310">
        <v>3.359</v>
      </c>
      <c r="I876" s="147">
        <v>3.539</v>
      </c>
      <c r="J876" s="4"/>
    </row>
    <row r="877" spans="1:10" ht="12.75">
      <c r="A877" s="93">
        <v>61</v>
      </c>
      <c r="B877" s="4"/>
      <c r="C877" s="124">
        <v>55</v>
      </c>
      <c r="D877" s="123">
        <v>55</v>
      </c>
      <c r="E877" s="62"/>
      <c r="G877" s="14"/>
      <c r="H877" s="310">
        <v>3.356</v>
      </c>
      <c r="I877" s="147">
        <v>3.581</v>
      </c>
      <c r="J877" s="4"/>
    </row>
    <row r="878" spans="1:10" ht="12.75">
      <c r="A878" s="93">
        <v>62</v>
      </c>
      <c r="B878" s="4"/>
      <c r="C878" s="124">
        <v>53</v>
      </c>
      <c r="D878" s="123">
        <v>52</v>
      </c>
      <c r="E878" s="62"/>
      <c r="G878" s="14"/>
      <c r="H878" s="310">
        <v>3.192</v>
      </c>
      <c r="I878" s="147">
        <v>3.862</v>
      </c>
      <c r="J878" s="4"/>
    </row>
    <row r="879" spans="1:10" ht="12.75">
      <c r="A879" s="93">
        <v>63</v>
      </c>
      <c r="B879" s="4"/>
      <c r="C879" s="124">
        <v>52</v>
      </c>
      <c r="D879" s="123">
        <v>50</v>
      </c>
      <c r="E879" s="62"/>
      <c r="G879" s="14"/>
      <c r="H879" s="310">
        <v>3.23</v>
      </c>
      <c r="I879" s="147">
        <v>3.679</v>
      </c>
      <c r="J879" s="4"/>
    </row>
    <row r="880" spans="1:10" ht="12.75">
      <c r="A880" s="93">
        <v>64</v>
      </c>
      <c r="B880" s="4"/>
      <c r="C880" s="124">
        <v>52</v>
      </c>
      <c r="D880" s="123">
        <v>54</v>
      </c>
      <c r="E880" s="62"/>
      <c r="G880" s="14"/>
      <c r="H880" s="310">
        <v>3.764</v>
      </c>
      <c r="I880" s="147">
        <v>3.47</v>
      </c>
      <c r="J880" s="4"/>
    </row>
    <row r="881" spans="1:10" ht="12.75">
      <c r="A881" s="93">
        <v>65</v>
      </c>
      <c r="B881" s="4"/>
      <c r="C881" s="124">
        <v>53</v>
      </c>
      <c r="D881" s="123">
        <v>55</v>
      </c>
      <c r="E881" s="62"/>
      <c r="G881" s="14"/>
      <c r="H881" s="310">
        <v>3.309</v>
      </c>
      <c r="I881" s="147">
        <v>3.37</v>
      </c>
      <c r="J881" s="4"/>
    </row>
    <row r="882" spans="1:10" ht="12.75">
      <c r="A882" s="93">
        <v>66</v>
      </c>
      <c r="B882" s="4"/>
      <c r="C882" s="124">
        <v>53</v>
      </c>
      <c r="D882" s="123">
        <v>51</v>
      </c>
      <c r="E882" s="62"/>
      <c r="G882" s="14"/>
      <c r="H882" s="310">
        <v>3.152</v>
      </c>
      <c r="I882" s="147">
        <v>3.554</v>
      </c>
      <c r="J882" s="4"/>
    </row>
    <row r="883" spans="1:10" ht="12.75">
      <c r="A883" s="93">
        <v>67</v>
      </c>
      <c r="B883" s="4"/>
      <c r="C883" s="124">
        <v>52</v>
      </c>
      <c r="D883" s="123">
        <v>50</v>
      </c>
      <c r="E883" s="62"/>
      <c r="G883" s="14"/>
      <c r="H883" s="310">
        <v>3.338</v>
      </c>
      <c r="I883" s="147">
        <v>3.736</v>
      </c>
      <c r="J883" s="4"/>
    </row>
    <row r="884" spans="1:10" ht="12.75">
      <c r="A884" s="93">
        <v>68</v>
      </c>
      <c r="B884" s="4"/>
      <c r="C884" s="124">
        <v>54</v>
      </c>
      <c r="D884" s="123">
        <v>54</v>
      </c>
      <c r="E884" s="62"/>
      <c r="G884" s="14"/>
      <c r="H884" s="310">
        <v>3.329</v>
      </c>
      <c r="I884" s="147">
        <v>3.431</v>
      </c>
      <c r="J884" s="4"/>
    </row>
    <row r="885" spans="1:10" ht="12.75">
      <c r="A885" s="93">
        <v>69</v>
      </c>
      <c r="B885" s="4"/>
      <c r="C885" s="124">
        <v>52</v>
      </c>
      <c r="D885" s="123">
        <v>53</v>
      </c>
      <c r="E885" s="62"/>
      <c r="G885" s="14"/>
      <c r="H885" s="310">
        <v>3.399</v>
      </c>
      <c r="I885" s="147">
        <v>3.756</v>
      </c>
      <c r="J885" s="4"/>
    </row>
    <row r="886" spans="1:10" ht="12.75">
      <c r="A886" s="93">
        <v>70</v>
      </c>
      <c r="B886" s="4"/>
      <c r="C886" s="124">
        <v>53</v>
      </c>
      <c r="D886" s="123">
        <v>53</v>
      </c>
      <c r="E886" s="62"/>
      <c r="G886" s="14"/>
      <c r="H886" s="310">
        <v>3.414</v>
      </c>
      <c r="I886" s="147">
        <v>3.74</v>
      </c>
      <c r="J886" s="4"/>
    </row>
    <row r="887" spans="1:10" ht="12.75">
      <c r="A887" s="93">
        <v>71</v>
      </c>
      <c r="B887" s="4"/>
      <c r="C887" s="124">
        <v>56</v>
      </c>
      <c r="D887" s="123">
        <v>54</v>
      </c>
      <c r="E887" s="62"/>
      <c r="G887" s="14"/>
      <c r="H887" s="310">
        <v>3.349</v>
      </c>
      <c r="I887" s="147">
        <v>3.591</v>
      </c>
      <c r="J887" s="4"/>
    </row>
    <row r="888" spans="1:10" ht="12.75">
      <c r="A888" s="93">
        <v>72</v>
      </c>
      <c r="B888" s="4"/>
      <c r="C888" s="124">
        <v>53</v>
      </c>
      <c r="D888" s="123">
        <v>51</v>
      </c>
      <c r="E888" s="62"/>
      <c r="G888" s="14"/>
      <c r="H888" s="310">
        <v>2.622</v>
      </c>
      <c r="I888" s="147">
        <v>3.854</v>
      </c>
      <c r="J888" s="4"/>
    </row>
    <row r="889" spans="1:10" ht="12.75">
      <c r="A889" s="93">
        <v>73</v>
      </c>
      <c r="B889" s="4"/>
      <c r="C889" s="124">
        <v>54</v>
      </c>
      <c r="D889" s="123">
        <v>51</v>
      </c>
      <c r="E889" s="62"/>
      <c r="G889" s="14"/>
      <c r="H889" s="310">
        <v>3.221</v>
      </c>
      <c r="I889" s="147">
        <v>4.446</v>
      </c>
      <c r="J889" s="4"/>
    </row>
    <row r="890" spans="1:10" ht="12.75">
      <c r="A890" s="93">
        <v>74</v>
      </c>
      <c r="B890" s="4"/>
      <c r="C890" s="124">
        <v>51</v>
      </c>
      <c r="D890" s="123">
        <v>50</v>
      </c>
      <c r="E890" s="62"/>
      <c r="G890" s="14"/>
      <c r="H890" s="310">
        <v>3.335</v>
      </c>
      <c r="I890" s="147">
        <v>3.724</v>
      </c>
      <c r="J890" s="4"/>
    </row>
    <row r="891" spans="1:10" ht="12.75">
      <c r="A891" s="93">
        <v>75</v>
      </c>
      <c r="B891" s="4"/>
      <c r="C891" s="124">
        <v>53</v>
      </c>
      <c r="D891" s="123">
        <v>55</v>
      </c>
      <c r="E891" s="62"/>
      <c r="G891" s="14"/>
      <c r="H891" s="310">
        <v>3.193</v>
      </c>
      <c r="I891" s="147">
        <v>3.654</v>
      </c>
      <c r="J891" s="4"/>
    </row>
    <row r="892" spans="1:10" ht="12.75">
      <c r="A892" s="93">
        <v>76</v>
      </c>
      <c r="B892" s="4"/>
      <c r="C892" s="124">
        <v>54</v>
      </c>
      <c r="D892" s="123">
        <v>54</v>
      </c>
      <c r="E892" s="62"/>
      <c r="G892" s="14"/>
      <c r="H892" s="310">
        <v>3.007</v>
      </c>
      <c r="I892" s="147">
        <v>3.689</v>
      </c>
      <c r="J892" s="4"/>
    </row>
    <row r="893" spans="1:10" ht="12.75">
      <c r="A893" s="93">
        <v>77</v>
      </c>
      <c r="B893" s="4"/>
      <c r="C893" s="124">
        <v>51</v>
      </c>
      <c r="D893" s="123">
        <v>54</v>
      </c>
      <c r="E893" s="62"/>
      <c r="G893" s="14"/>
      <c r="H893" s="310">
        <v>3.344</v>
      </c>
      <c r="I893" s="147">
        <v>3.701</v>
      </c>
      <c r="J893" s="4"/>
    </row>
    <row r="894" spans="1:10" ht="12.75">
      <c r="A894" s="93">
        <v>78</v>
      </c>
      <c r="B894" s="4"/>
      <c r="C894" s="124">
        <v>54</v>
      </c>
      <c r="D894" s="123">
        <v>56</v>
      </c>
      <c r="E894" s="62"/>
      <c r="G894" s="14"/>
      <c r="H894" s="310">
        <v>3.134</v>
      </c>
      <c r="I894" s="147">
        <v>3.808</v>
      </c>
      <c r="J894" s="4"/>
    </row>
    <row r="895" spans="1:10" ht="12.75">
      <c r="A895" s="93">
        <v>79</v>
      </c>
      <c r="B895" s="4"/>
      <c r="C895" s="124">
        <v>55</v>
      </c>
      <c r="D895" s="123">
        <v>55</v>
      </c>
      <c r="E895" s="62"/>
      <c r="G895" s="14"/>
      <c r="H895" s="310">
        <v>3.222</v>
      </c>
      <c r="I895" s="147">
        <v>3.676</v>
      </c>
      <c r="J895" s="4"/>
    </row>
    <row r="896" spans="1:10" ht="12.75">
      <c r="A896" s="93">
        <v>80</v>
      </c>
      <c r="B896" s="4"/>
      <c r="C896" s="124">
        <v>50</v>
      </c>
      <c r="D896" s="123">
        <v>51</v>
      </c>
      <c r="E896" s="62"/>
      <c r="G896" s="14"/>
      <c r="H896" s="310">
        <v>3.312</v>
      </c>
      <c r="I896" s="147">
        <v>3.81</v>
      </c>
      <c r="J896" s="4"/>
    </row>
    <row r="897" spans="1:10" ht="12.75">
      <c r="A897" s="93">
        <v>81</v>
      </c>
      <c r="B897" s="4"/>
      <c r="C897" s="124">
        <v>52</v>
      </c>
      <c r="D897" s="123">
        <v>54</v>
      </c>
      <c r="E897" s="62"/>
      <c r="G897" s="14"/>
      <c r="H897" s="310">
        <v>3.344</v>
      </c>
      <c r="I897" s="147">
        <v>3.37</v>
      </c>
      <c r="J897" s="4"/>
    </row>
    <row r="898" spans="1:10" ht="12.75">
      <c r="A898" s="93">
        <v>82</v>
      </c>
      <c r="B898" s="4"/>
      <c r="C898" s="11"/>
      <c r="D898" s="123">
        <v>54</v>
      </c>
      <c r="E898" s="62"/>
      <c r="G898" s="14"/>
      <c r="H898" s="10"/>
      <c r="I898" s="147">
        <v>3.511</v>
      </c>
      <c r="J898" s="4"/>
    </row>
    <row r="899" spans="1:10" ht="12.75">
      <c r="A899" s="94">
        <v>83</v>
      </c>
      <c r="B899" s="7"/>
      <c r="C899" s="309"/>
      <c r="D899" s="129">
        <v>54</v>
      </c>
      <c r="E899" s="63"/>
      <c r="G899" s="21"/>
      <c r="H899" s="12"/>
      <c r="I899" s="313">
        <v>3.548</v>
      </c>
      <c r="J899" s="7"/>
    </row>
    <row r="900" spans="3:8" ht="12.75">
      <c r="C900" s="31"/>
      <c r="H900" s="31"/>
    </row>
    <row r="901" spans="3:8" ht="12.75">
      <c r="C901" s="31"/>
      <c r="H901" s="31"/>
    </row>
    <row r="902" spans="1:12" ht="12.75">
      <c r="A902" s="200" t="s">
        <v>256</v>
      </c>
      <c r="C902" s="11"/>
      <c r="D902" s="11"/>
      <c r="E902" s="11"/>
      <c r="F902" s="11"/>
      <c r="G902" s="11"/>
      <c r="H902" s="11"/>
      <c r="I902" s="11"/>
      <c r="J902" s="11"/>
      <c r="K902" s="11"/>
      <c r="L902" s="11"/>
    </row>
    <row r="903" spans="1:15" ht="12.75">
      <c r="A903" s="317"/>
      <c r="B903" s="22"/>
      <c r="C903" s="318" t="s">
        <v>4</v>
      </c>
      <c r="D903" s="9" t="s">
        <v>5</v>
      </c>
      <c r="E903" s="318" t="s">
        <v>0</v>
      </c>
      <c r="F903" s="676" t="s">
        <v>6</v>
      </c>
      <c r="G903" s="677"/>
      <c r="H903" s="677"/>
      <c r="I903" s="678"/>
      <c r="J903" s="676" t="s">
        <v>7</v>
      </c>
      <c r="K903" s="677"/>
      <c r="L903" s="678"/>
      <c r="M903" s="676" t="s">
        <v>8</v>
      </c>
      <c r="N903" s="677"/>
      <c r="O903" s="678"/>
    </row>
    <row r="904" spans="1:15" ht="13.5" thickBot="1">
      <c r="A904" s="319" t="s">
        <v>1</v>
      </c>
      <c r="B904" s="24" t="s">
        <v>2</v>
      </c>
      <c r="C904" s="262" t="s">
        <v>9</v>
      </c>
      <c r="D904" s="24" t="s">
        <v>10</v>
      </c>
      <c r="E904" s="262" t="s">
        <v>11</v>
      </c>
      <c r="F904" s="261" t="s">
        <v>12</v>
      </c>
      <c r="G904" s="316" t="s">
        <v>13</v>
      </c>
      <c r="H904" s="144" t="s">
        <v>14</v>
      </c>
      <c r="I904" s="262" t="s">
        <v>15</v>
      </c>
      <c r="J904" s="263" t="s">
        <v>16</v>
      </c>
      <c r="K904" s="262" t="s">
        <v>17</v>
      </c>
      <c r="L904" s="263" t="s">
        <v>18</v>
      </c>
      <c r="M904" s="262" t="s">
        <v>19</v>
      </c>
      <c r="N904" s="263" t="s">
        <v>20</v>
      </c>
      <c r="O904" s="26" t="s">
        <v>21</v>
      </c>
    </row>
    <row r="905" spans="1:15" ht="13.5" thickTop="1">
      <c r="A905" s="269">
        <v>22</v>
      </c>
      <c r="B905" s="123">
        <v>1428</v>
      </c>
      <c r="C905" s="124">
        <v>1</v>
      </c>
      <c r="D905" s="123">
        <v>53</v>
      </c>
      <c r="E905" s="147">
        <v>2.399</v>
      </c>
      <c r="F905" s="161">
        <v>1</v>
      </c>
      <c r="G905" s="145">
        <v>0</v>
      </c>
      <c r="H905" s="314">
        <v>0</v>
      </c>
      <c r="I905" s="145">
        <v>0</v>
      </c>
      <c r="J905" s="123">
        <v>1</v>
      </c>
      <c r="K905" s="124">
        <v>0</v>
      </c>
      <c r="L905" s="123">
        <v>0</v>
      </c>
      <c r="M905" s="124">
        <v>1</v>
      </c>
      <c r="N905" s="123">
        <v>0</v>
      </c>
      <c r="O905" s="307">
        <v>0</v>
      </c>
    </row>
    <row r="906" spans="1:15" ht="12.75">
      <c r="A906" s="269">
        <v>174</v>
      </c>
      <c r="B906" s="123">
        <v>4545</v>
      </c>
      <c r="C906" s="124">
        <v>0</v>
      </c>
      <c r="D906" s="123">
        <v>51</v>
      </c>
      <c r="E906" s="147">
        <v>2.893</v>
      </c>
      <c r="F906" s="161">
        <v>1</v>
      </c>
      <c r="G906" s="145">
        <v>0</v>
      </c>
      <c r="H906" s="161">
        <v>0</v>
      </c>
      <c r="I906" s="145">
        <v>0</v>
      </c>
      <c r="J906" s="123">
        <v>1</v>
      </c>
      <c r="K906" s="124">
        <v>0</v>
      </c>
      <c r="L906" s="123">
        <v>0</v>
      </c>
      <c r="M906" s="124">
        <v>1</v>
      </c>
      <c r="N906" s="123">
        <v>0</v>
      </c>
      <c r="O906" s="307">
        <v>0</v>
      </c>
    </row>
    <row r="907" spans="1:15" ht="12.75">
      <c r="A907" s="269">
        <v>235</v>
      </c>
      <c r="B907" s="123">
        <v>4145</v>
      </c>
      <c r="C907" s="124">
        <v>0</v>
      </c>
      <c r="D907" s="123">
        <v>51</v>
      </c>
      <c r="E907" s="147">
        <v>2.813</v>
      </c>
      <c r="F907" s="161">
        <v>1</v>
      </c>
      <c r="G907" s="145">
        <v>0</v>
      </c>
      <c r="H907" s="161">
        <v>0</v>
      </c>
      <c r="I907" s="145">
        <v>0</v>
      </c>
      <c r="J907" s="123">
        <v>1</v>
      </c>
      <c r="K907" s="124">
        <v>0</v>
      </c>
      <c r="L907" s="123">
        <v>0</v>
      </c>
      <c r="M907" s="124">
        <v>1</v>
      </c>
      <c r="N907" s="123">
        <v>0</v>
      </c>
      <c r="O907" s="307">
        <v>0</v>
      </c>
    </row>
    <row r="908" spans="1:12" s="15" customFormat="1" ht="12.75">
      <c r="A908" s="249"/>
      <c r="B908" s="124"/>
      <c r="C908" s="124"/>
      <c r="D908" s="124"/>
      <c r="E908" s="147"/>
      <c r="F908" s="145"/>
      <c r="G908" s="145"/>
      <c r="H908" s="145"/>
      <c r="I908" s="145"/>
      <c r="J908" s="124"/>
      <c r="K908" s="124"/>
      <c r="L908" s="124"/>
    </row>
    <row r="909" spans="1:15" ht="12.75">
      <c r="A909" s="269">
        <v>25</v>
      </c>
      <c r="B909" s="123">
        <v>2375</v>
      </c>
      <c r="C909" s="124">
        <v>0</v>
      </c>
      <c r="D909" s="123">
        <v>51</v>
      </c>
      <c r="E909" s="147">
        <v>2.105</v>
      </c>
      <c r="F909" s="161">
        <v>1</v>
      </c>
      <c r="G909" s="145">
        <v>0</v>
      </c>
      <c r="H909" s="161">
        <v>0</v>
      </c>
      <c r="I909" s="145">
        <v>0</v>
      </c>
      <c r="J909" s="123">
        <v>0</v>
      </c>
      <c r="K909" s="124">
        <v>1</v>
      </c>
      <c r="L909" s="123">
        <v>0</v>
      </c>
      <c r="M909" s="124">
        <v>0</v>
      </c>
      <c r="N909" s="123">
        <v>1</v>
      </c>
      <c r="O909" s="307">
        <v>0</v>
      </c>
    </row>
    <row r="910" spans="1:15" ht="12.75">
      <c r="A910" s="269">
        <v>32</v>
      </c>
      <c r="B910" s="123">
        <v>854</v>
      </c>
      <c r="C910" s="124">
        <v>0</v>
      </c>
      <c r="D910" s="123">
        <v>53</v>
      </c>
      <c r="E910" s="147">
        <v>3.057</v>
      </c>
      <c r="F910" s="161">
        <v>1</v>
      </c>
      <c r="G910" s="145">
        <v>0</v>
      </c>
      <c r="H910" s="161">
        <v>0</v>
      </c>
      <c r="I910" s="145">
        <v>0</v>
      </c>
      <c r="J910" s="123">
        <v>0</v>
      </c>
      <c r="K910" s="124">
        <v>1</v>
      </c>
      <c r="L910" s="123">
        <v>0</v>
      </c>
      <c r="M910" s="124">
        <v>1</v>
      </c>
      <c r="N910" s="123">
        <v>0</v>
      </c>
      <c r="O910" s="307">
        <v>0</v>
      </c>
    </row>
    <row r="911" spans="1:15" ht="12.75">
      <c r="A911" s="269">
        <v>36</v>
      </c>
      <c r="B911" s="123">
        <v>2462</v>
      </c>
      <c r="C911" s="124">
        <v>1</v>
      </c>
      <c r="D911" s="123">
        <v>53</v>
      </c>
      <c r="E911" s="147">
        <v>2.097</v>
      </c>
      <c r="F911" s="161">
        <v>1</v>
      </c>
      <c r="G911" s="145">
        <v>0</v>
      </c>
      <c r="H911" s="161">
        <v>0</v>
      </c>
      <c r="I911" s="145">
        <v>0</v>
      </c>
      <c r="J911" s="123">
        <v>0</v>
      </c>
      <c r="K911" s="124">
        <v>1</v>
      </c>
      <c r="L911" s="123">
        <v>0</v>
      </c>
      <c r="M911" s="124">
        <v>0</v>
      </c>
      <c r="N911" s="123">
        <v>1</v>
      </c>
      <c r="O911" s="307">
        <v>0</v>
      </c>
    </row>
    <row r="912" spans="1:15" ht="12.75">
      <c r="A912" s="269">
        <v>41</v>
      </c>
      <c r="B912" s="123">
        <v>3147</v>
      </c>
      <c r="C912" s="124">
        <v>0</v>
      </c>
      <c r="D912" s="123">
        <v>52</v>
      </c>
      <c r="E912" s="147">
        <v>2.393</v>
      </c>
      <c r="F912" s="161">
        <v>1</v>
      </c>
      <c r="G912" s="145">
        <v>0</v>
      </c>
      <c r="H912" s="161">
        <v>0</v>
      </c>
      <c r="I912" s="145">
        <v>0</v>
      </c>
      <c r="J912" s="123">
        <v>0</v>
      </c>
      <c r="K912" s="124">
        <v>1</v>
      </c>
      <c r="L912" s="123">
        <v>0</v>
      </c>
      <c r="M912" s="124">
        <v>0</v>
      </c>
      <c r="N912" s="123">
        <v>0</v>
      </c>
      <c r="O912" s="307">
        <v>1</v>
      </c>
    </row>
    <row r="913" spans="1:15" ht="12.75">
      <c r="A913" s="269">
        <v>51</v>
      </c>
      <c r="B913" s="123">
        <v>3501</v>
      </c>
      <c r="C913" s="124">
        <v>0</v>
      </c>
      <c r="D913" s="123">
        <v>53</v>
      </c>
      <c r="E913" s="147">
        <v>2.989</v>
      </c>
      <c r="F913" s="161">
        <v>1</v>
      </c>
      <c r="G913" s="145">
        <v>0</v>
      </c>
      <c r="H913" s="161">
        <v>0</v>
      </c>
      <c r="I913" s="145">
        <v>0</v>
      </c>
      <c r="J913" s="123">
        <v>0</v>
      </c>
      <c r="K913" s="124">
        <v>1</v>
      </c>
      <c r="L913" s="123">
        <v>0</v>
      </c>
      <c r="M913" s="124">
        <v>1</v>
      </c>
      <c r="N913" s="123">
        <v>0</v>
      </c>
      <c r="O913" s="307">
        <v>0</v>
      </c>
    </row>
    <row r="914" spans="1:15" ht="12.75">
      <c r="A914" s="269">
        <v>53</v>
      </c>
      <c r="B914" s="123">
        <v>4250</v>
      </c>
      <c r="C914" s="124">
        <v>0</v>
      </c>
      <c r="D914" s="123">
        <v>52</v>
      </c>
      <c r="E914" s="147">
        <v>2.18</v>
      </c>
      <c r="F914" s="161">
        <v>1</v>
      </c>
      <c r="G914" s="145">
        <v>0</v>
      </c>
      <c r="H914" s="161">
        <v>0</v>
      </c>
      <c r="I914" s="145">
        <v>0</v>
      </c>
      <c r="J914" s="123">
        <v>0</v>
      </c>
      <c r="K914" s="124">
        <v>1</v>
      </c>
      <c r="L914" s="123">
        <v>0</v>
      </c>
      <c r="M914" s="124">
        <v>1</v>
      </c>
      <c r="N914" s="123">
        <v>0</v>
      </c>
      <c r="O914" s="307">
        <v>0</v>
      </c>
    </row>
    <row r="915" spans="1:15" ht="12.75">
      <c r="A915" s="269">
        <v>68</v>
      </c>
      <c r="B915" s="123">
        <v>26</v>
      </c>
      <c r="C915" s="124">
        <v>0</v>
      </c>
      <c r="D915" s="123">
        <v>51</v>
      </c>
      <c r="E915" s="147">
        <v>2.453</v>
      </c>
      <c r="F915" s="161">
        <v>1</v>
      </c>
      <c r="G915" s="145">
        <v>0</v>
      </c>
      <c r="H915" s="161">
        <v>0</v>
      </c>
      <c r="I915" s="145">
        <v>0</v>
      </c>
      <c r="J915" s="123">
        <v>0</v>
      </c>
      <c r="K915" s="124">
        <v>1</v>
      </c>
      <c r="L915" s="123">
        <v>0</v>
      </c>
      <c r="M915" s="124">
        <v>0</v>
      </c>
      <c r="N915" s="123">
        <v>1</v>
      </c>
      <c r="O915" s="307">
        <v>0</v>
      </c>
    </row>
    <row r="916" spans="1:15" ht="12.75">
      <c r="A916" s="269">
        <v>69</v>
      </c>
      <c r="B916" s="123">
        <v>957</v>
      </c>
      <c r="C916" s="124">
        <v>1</v>
      </c>
      <c r="D916" s="123">
        <v>52</v>
      </c>
      <c r="E916" s="147">
        <v>2.851</v>
      </c>
      <c r="F916" s="161">
        <v>1</v>
      </c>
      <c r="G916" s="145">
        <v>0</v>
      </c>
      <c r="H916" s="161">
        <v>0</v>
      </c>
      <c r="I916" s="145">
        <v>0</v>
      </c>
      <c r="J916" s="123">
        <v>0</v>
      </c>
      <c r="K916" s="124">
        <v>1</v>
      </c>
      <c r="L916" s="123">
        <v>0</v>
      </c>
      <c r="M916" s="124">
        <v>0</v>
      </c>
      <c r="N916" s="123">
        <v>1</v>
      </c>
      <c r="O916" s="307">
        <v>0</v>
      </c>
    </row>
    <row r="917" spans="1:15" ht="12.75">
      <c r="A917" s="269">
        <v>81</v>
      </c>
      <c r="B917" s="123">
        <v>1498</v>
      </c>
      <c r="C917" s="124">
        <v>1</v>
      </c>
      <c r="D917" s="123">
        <v>53</v>
      </c>
      <c r="E917" s="147">
        <v>2.583</v>
      </c>
      <c r="F917" s="161">
        <v>1</v>
      </c>
      <c r="G917" s="145">
        <v>0</v>
      </c>
      <c r="H917" s="161">
        <v>0</v>
      </c>
      <c r="I917" s="145">
        <v>0</v>
      </c>
      <c r="J917" s="123">
        <v>0</v>
      </c>
      <c r="K917" s="124">
        <v>1</v>
      </c>
      <c r="L917" s="123">
        <v>0</v>
      </c>
      <c r="M917" s="124">
        <v>1</v>
      </c>
      <c r="N917" s="123">
        <v>0</v>
      </c>
      <c r="O917" s="307">
        <v>0</v>
      </c>
    </row>
    <row r="918" spans="1:15" ht="12.75">
      <c r="A918" s="269">
        <v>87</v>
      </c>
      <c r="B918" s="123">
        <v>140</v>
      </c>
      <c r="C918" s="124">
        <v>0</v>
      </c>
      <c r="D918" s="123">
        <v>55</v>
      </c>
      <c r="E918" s="147">
        <v>3.01</v>
      </c>
      <c r="F918" s="161">
        <v>1</v>
      </c>
      <c r="G918" s="145">
        <v>0</v>
      </c>
      <c r="H918" s="161">
        <v>0</v>
      </c>
      <c r="I918" s="145">
        <v>0</v>
      </c>
      <c r="J918" s="123">
        <v>0</v>
      </c>
      <c r="K918" s="124">
        <v>1</v>
      </c>
      <c r="L918" s="123">
        <v>0</v>
      </c>
      <c r="M918" s="124">
        <v>1</v>
      </c>
      <c r="N918" s="123">
        <v>0</v>
      </c>
      <c r="O918" s="307">
        <v>0</v>
      </c>
    </row>
    <row r="919" spans="1:15" ht="12.75">
      <c r="A919" s="269">
        <v>93</v>
      </c>
      <c r="B919" s="123">
        <v>3675</v>
      </c>
      <c r="C919" s="124">
        <v>0</v>
      </c>
      <c r="D919" s="123">
        <v>52</v>
      </c>
      <c r="E919" s="147">
        <v>2.323</v>
      </c>
      <c r="F919" s="161">
        <v>1</v>
      </c>
      <c r="G919" s="145">
        <v>0</v>
      </c>
      <c r="H919" s="161">
        <v>0</v>
      </c>
      <c r="I919" s="145">
        <v>0</v>
      </c>
      <c r="J919" s="123">
        <v>0</v>
      </c>
      <c r="K919" s="124">
        <v>1</v>
      </c>
      <c r="L919" s="123">
        <v>0</v>
      </c>
      <c r="M919" s="124">
        <v>0</v>
      </c>
      <c r="N919" s="123">
        <v>0</v>
      </c>
      <c r="O919" s="307">
        <v>1</v>
      </c>
    </row>
    <row r="920" spans="1:15" ht="12.75">
      <c r="A920" s="269">
        <v>98</v>
      </c>
      <c r="B920" s="123">
        <v>2602</v>
      </c>
      <c r="C920" s="124">
        <v>1</v>
      </c>
      <c r="D920" s="123">
        <v>56</v>
      </c>
      <c r="E920" s="147">
        <v>2.367</v>
      </c>
      <c r="F920" s="161">
        <v>1</v>
      </c>
      <c r="G920" s="145">
        <v>0</v>
      </c>
      <c r="H920" s="161">
        <v>0</v>
      </c>
      <c r="I920" s="145">
        <v>0</v>
      </c>
      <c r="J920" s="123">
        <v>0</v>
      </c>
      <c r="K920" s="124">
        <v>1</v>
      </c>
      <c r="L920" s="123">
        <v>0</v>
      </c>
      <c r="M920" s="124">
        <v>0</v>
      </c>
      <c r="N920" s="123">
        <v>1</v>
      </c>
      <c r="O920" s="307">
        <v>0</v>
      </c>
    </row>
    <row r="921" spans="1:15" ht="12.75">
      <c r="A921" s="269">
        <v>105</v>
      </c>
      <c r="B921" s="123">
        <v>1126</v>
      </c>
      <c r="C921" s="124">
        <v>0</v>
      </c>
      <c r="D921" s="123">
        <v>51</v>
      </c>
      <c r="E921" s="147">
        <v>2.487</v>
      </c>
      <c r="F921" s="161">
        <v>1</v>
      </c>
      <c r="G921" s="145">
        <v>0</v>
      </c>
      <c r="H921" s="161">
        <v>0</v>
      </c>
      <c r="I921" s="145">
        <v>0</v>
      </c>
      <c r="J921" s="123">
        <v>0</v>
      </c>
      <c r="K921" s="124">
        <v>1</v>
      </c>
      <c r="L921" s="123">
        <v>0</v>
      </c>
      <c r="M921" s="124">
        <v>0</v>
      </c>
      <c r="N921" s="123">
        <v>1</v>
      </c>
      <c r="O921" s="307">
        <v>0</v>
      </c>
    </row>
    <row r="922" spans="1:15" ht="12.75">
      <c r="A922" s="269">
        <v>106</v>
      </c>
      <c r="B922" s="123">
        <v>347</v>
      </c>
      <c r="C922" s="124">
        <v>1</v>
      </c>
      <c r="D922" s="123">
        <v>51</v>
      </c>
      <c r="E922" s="147">
        <v>2.536</v>
      </c>
      <c r="F922" s="161">
        <v>1</v>
      </c>
      <c r="G922" s="145">
        <v>0</v>
      </c>
      <c r="H922" s="161">
        <v>0</v>
      </c>
      <c r="I922" s="145">
        <v>0</v>
      </c>
      <c r="J922" s="123">
        <v>0</v>
      </c>
      <c r="K922" s="124">
        <v>1</v>
      </c>
      <c r="L922" s="123">
        <v>0</v>
      </c>
      <c r="M922" s="124">
        <v>0</v>
      </c>
      <c r="N922" s="123">
        <v>0</v>
      </c>
      <c r="O922" s="307">
        <v>1</v>
      </c>
    </row>
    <row r="923" spans="1:15" ht="12.75">
      <c r="A923" s="269">
        <v>107</v>
      </c>
      <c r="B923" s="123">
        <v>1689</v>
      </c>
      <c r="C923" s="124">
        <v>1</v>
      </c>
      <c r="D923" s="123">
        <v>51</v>
      </c>
      <c r="E923" s="147">
        <v>2.331</v>
      </c>
      <c r="F923" s="161">
        <v>1</v>
      </c>
      <c r="G923" s="145">
        <v>0</v>
      </c>
      <c r="H923" s="161">
        <v>0</v>
      </c>
      <c r="I923" s="145">
        <v>0</v>
      </c>
      <c r="J923" s="123">
        <v>0</v>
      </c>
      <c r="K923" s="124">
        <v>1</v>
      </c>
      <c r="L923" s="123">
        <v>0</v>
      </c>
      <c r="M923" s="124">
        <v>0</v>
      </c>
      <c r="N923" s="123">
        <v>1</v>
      </c>
      <c r="O923" s="307">
        <v>0</v>
      </c>
    </row>
    <row r="924" spans="1:15" ht="12.75">
      <c r="A924" s="269">
        <v>108</v>
      </c>
      <c r="B924" s="123">
        <v>2026</v>
      </c>
      <c r="C924" s="124">
        <v>0</v>
      </c>
      <c r="D924" s="123">
        <v>51</v>
      </c>
      <c r="E924" s="147">
        <v>2.467</v>
      </c>
      <c r="F924" s="161">
        <v>1</v>
      </c>
      <c r="G924" s="145">
        <v>0</v>
      </c>
      <c r="H924" s="161">
        <v>0</v>
      </c>
      <c r="I924" s="145">
        <v>0</v>
      </c>
      <c r="J924" s="123">
        <v>0</v>
      </c>
      <c r="K924" s="124">
        <v>1</v>
      </c>
      <c r="L924" s="123">
        <v>0</v>
      </c>
      <c r="M924" s="124">
        <v>0</v>
      </c>
      <c r="N924" s="123">
        <v>1</v>
      </c>
      <c r="O924" s="307">
        <v>0</v>
      </c>
    </row>
    <row r="925" spans="1:15" ht="12.75">
      <c r="A925" s="269">
        <v>114</v>
      </c>
      <c r="B925" s="123">
        <v>259</v>
      </c>
      <c r="C925" s="124">
        <v>0</v>
      </c>
      <c r="D925" s="123">
        <v>52</v>
      </c>
      <c r="E925" s="147">
        <v>2.96</v>
      </c>
      <c r="F925" s="161">
        <v>1</v>
      </c>
      <c r="G925" s="145">
        <v>0</v>
      </c>
      <c r="H925" s="161">
        <v>0</v>
      </c>
      <c r="I925" s="145">
        <v>0</v>
      </c>
      <c r="J925" s="123">
        <v>0</v>
      </c>
      <c r="K925" s="124">
        <v>1</v>
      </c>
      <c r="L925" s="123">
        <v>0</v>
      </c>
      <c r="M925" s="124">
        <v>0</v>
      </c>
      <c r="N925" s="123">
        <v>1</v>
      </c>
      <c r="O925" s="307">
        <v>0</v>
      </c>
    </row>
    <row r="926" spans="1:15" ht="12.75">
      <c r="A926" s="269">
        <v>126</v>
      </c>
      <c r="B926" s="123">
        <v>4146</v>
      </c>
      <c r="C926" s="124">
        <v>1</v>
      </c>
      <c r="D926" s="123">
        <v>52</v>
      </c>
      <c r="E926" s="147">
        <v>2.744</v>
      </c>
      <c r="F926" s="161">
        <v>1</v>
      </c>
      <c r="G926" s="145">
        <v>0</v>
      </c>
      <c r="H926" s="161">
        <v>0</v>
      </c>
      <c r="I926" s="145">
        <v>0</v>
      </c>
      <c r="J926" s="123">
        <v>0</v>
      </c>
      <c r="K926" s="124">
        <v>1</v>
      </c>
      <c r="L926" s="123">
        <v>0</v>
      </c>
      <c r="M926" s="124">
        <v>0</v>
      </c>
      <c r="N926" s="123">
        <v>1</v>
      </c>
      <c r="O926" s="307">
        <v>0</v>
      </c>
    </row>
    <row r="927" spans="1:15" ht="12.75">
      <c r="A927" s="269">
        <v>139</v>
      </c>
      <c r="B927" s="123">
        <v>771</v>
      </c>
      <c r="C927" s="124">
        <v>0</v>
      </c>
      <c r="D927" s="123">
        <v>54</v>
      </c>
      <c r="E927" s="147">
        <v>2.953</v>
      </c>
      <c r="F927" s="161">
        <v>1</v>
      </c>
      <c r="G927" s="145">
        <v>0</v>
      </c>
      <c r="H927" s="161">
        <v>0</v>
      </c>
      <c r="I927" s="145">
        <v>0</v>
      </c>
      <c r="J927" s="123">
        <v>0</v>
      </c>
      <c r="K927" s="124">
        <v>1</v>
      </c>
      <c r="L927" s="123">
        <v>0</v>
      </c>
      <c r="M927" s="124">
        <v>0</v>
      </c>
      <c r="N927" s="123">
        <v>1</v>
      </c>
      <c r="O927" s="307">
        <v>0</v>
      </c>
    </row>
    <row r="928" spans="1:15" ht="12.75">
      <c r="A928" s="269">
        <v>142</v>
      </c>
      <c r="B928" s="123">
        <v>758</v>
      </c>
      <c r="C928" s="124">
        <v>1</v>
      </c>
      <c r="D928" s="123">
        <v>52</v>
      </c>
      <c r="E928" s="147">
        <v>2.751</v>
      </c>
      <c r="F928" s="161">
        <v>1</v>
      </c>
      <c r="G928" s="145">
        <v>0</v>
      </c>
      <c r="H928" s="161">
        <v>0</v>
      </c>
      <c r="I928" s="145">
        <v>0</v>
      </c>
      <c r="J928" s="123">
        <v>0</v>
      </c>
      <c r="K928" s="124">
        <v>1</v>
      </c>
      <c r="L928" s="123">
        <v>0</v>
      </c>
      <c r="M928" s="124">
        <v>1</v>
      </c>
      <c r="N928" s="123">
        <v>0</v>
      </c>
      <c r="O928" s="307">
        <v>0</v>
      </c>
    </row>
    <row r="929" spans="1:15" ht="12.75">
      <c r="A929" s="269">
        <v>145</v>
      </c>
      <c r="B929" s="123">
        <v>4450</v>
      </c>
      <c r="C929" s="124">
        <v>0</v>
      </c>
      <c r="D929" s="123">
        <v>52</v>
      </c>
      <c r="E929" s="147">
        <v>2.085</v>
      </c>
      <c r="F929" s="161">
        <v>1</v>
      </c>
      <c r="G929" s="145">
        <v>0</v>
      </c>
      <c r="H929" s="161">
        <v>0</v>
      </c>
      <c r="I929" s="145">
        <v>0</v>
      </c>
      <c r="J929" s="123">
        <v>0</v>
      </c>
      <c r="K929" s="124">
        <v>1</v>
      </c>
      <c r="L929" s="123">
        <v>0</v>
      </c>
      <c r="M929" s="124">
        <v>0</v>
      </c>
      <c r="N929" s="123">
        <v>0</v>
      </c>
      <c r="O929" s="307">
        <v>1</v>
      </c>
    </row>
    <row r="930" spans="1:15" ht="12.75">
      <c r="A930" s="269">
        <v>148</v>
      </c>
      <c r="B930" s="123">
        <v>941</v>
      </c>
      <c r="C930" s="124">
        <v>0</v>
      </c>
      <c r="D930" s="123">
        <v>52</v>
      </c>
      <c r="E930" s="147">
        <v>2.976</v>
      </c>
      <c r="F930" s="161">
        <v>1</v>
      </c>
      <c r="G930" s="145">
        <v>0</v>
      </c>
      <c r="H930" s="161">
        <v>0</v>
      </c>
      <c r="I930" s="145">
        <v>0</v>
      </c>
      <c r="J930" s="123">
        <v>0</v>
      </c>
      <c r="K930" s="124">
        <v>1</v>
      </c>
      <c r="L930" s="123">
        <v>0</v>
      </c>
      <c r="M930" s="124">
        <v>0</v>
      </c>
      <c r="N930" s="123">
        <v>0</v>
      </c>
      <c r="O930" s="307">
        <v>1</v>
      </c>
    </row>
    <row r="931" spans="1:15" ht="12.75">
      <c r="A931" s="269">
        <v>151</v>
      </c>
      <c r="B931" s="123">
        <v>1472</v>
      </c>
      <c r="C931" s="124">
        <v>1</v>
      </c>
      <c r="D931" s="123">
        <v>52</v>
      </c>
      <c r="E931" s="147">
        <v>2.318</v>
      </c>
      <c r="F931" s="161">
        <v>1</v>
      </c>
      <c r="G931" s="145">
        <v>0</v>
      </c>
      <c r="H931" s="161">
        <v>0</v>
      </c>
      <c r="I931" s="145">
        <v>0</v>
      </c>
      <c r="J931" s="123">
        <v>0</v>
      </c>
      <c r="K931" s="124">
        <v>1</v>
      </c>
      <c r="L931" s="123">
        <v>0</v>
      </c>
      <c r="M931" s="124">
        <v>1</v>
      </c>
      <c r="N931" s="123">
        <v>0</v>
      </c>
      <c r="O931" s="307">
        <v>0</v>
      </c>
    </row>
    <row r="932" spans="1:15" ht="12.75">
      <c r="A932" s="269">
        <v>158</v>
      </c>
      <c r="B932" s="123">
        <v>670</v>
      </c>
      <c r="C932" s="124">
        <v>0</v>
      </c>
      <c r="D932" s="123">
        <v>52</v>
      </c>
      <c r="E932" s="147">
        <v>2.878</v>
      </c>
      <c r="F932" s="161">
        <v>1</v>
      </c>
      <c r="G932" s="145">
        <v>0</v>
      </c>
      <c r="H932" s="161">
        <v>0</v>
      </c>
      <c r="I932" s="145">
        <v>0</v>
      </c>
      <c r="J932" s="123">
        <v>0</v>
      </c>
      <c r="K932" s="124">
        <v>1</v>
      </c>
      <c r="L932" s="123">
        <v>0</v>
      </c>
      <c r="M932" s="124">
        <v>0</v>
      </c>
      <c r="N932" s="123">
        <v>1</v>
      </c>
      <c r="O932" s="307">
        <v>0</v>
      </c>
    </row>
    <row r="933" spans="1:15" ht="12.75">
      <c r="A933" s="269">
        <v>162</v>
      </c>
      <c r="B933" s="123">
        <v>589</v>
      </c>
      <c r="C933" s="124">
        <v>0</v>
      </c>
      <c r="D933" s="123">
        <v>52</v>
      </c>
      <c r="E933" s="147">
        <v>2.218</v>
      </c>
      <c r="F933" s="161">
        <v>1</v>
      </c>
      <c r="G933" s="145">
        <v>0</v>
      </c>
      <c r="H933" s="161">
        <v>0</v>
      </c>
      <c r="I933" s="145">
        <v>0</v>
      </c>
      <c r="J933" s="123">
        <v>0</v>
      </c>
      <c r="K933" s="124">
        <v>1</v>
      </c>
      <c r="L933" s="123">
        <v>0</v>
      </c>
      <c r="M933" s="124">
        <v>0</v>
      </c>
      <c r="N933" s="123">
        <v>1</v>
      </c>
      <c r="O933" s="307">
        <v>0</v>
      </c>
    </row>
    <row r="934" spans="1:15" ht="12.75">
      <c r="A934" s="269">
        <v>173</v>
      </c>
      <c r="B934" s="123">
        <v>159</v>
      </c>
      <c r="C934" s="124">
        <v>0</v>
      </c>
      <c r="D934" s="123">
        <v>52</v>
      </c>
      <c r="E934" s="147">
        <v>3.088</v>
      </c>
      <c r="F934" s="161">
        <v>1</v>
      </c>
      <c r="G934" s="145">
        <v>0</v>
      </c>
      <c r="H934" s="161">
        <v>0</v>
      </c>
      <c r="I934" s="145">
        <v>0</v>
      </c>
      <c r="J934" s="123">
        <v>0</v>
      </c>
      <c r="K934" s="124">
        <v>1</v>
      </c>
      <c r="L934" s="123">
        <v>0</v>
      </c>
      <c r="M934" s="124">
        <v>1</v>
      </c>
      <c r="N934" s="123">
        <v>0</v>
      </c>
      <c r="O934" s="307">
        <v>0</v>
      </c>
    </row>
    <row r="935" spans="1:15" ht="12.75">
      <c r="A935" s="269">
        <v>176</v>
      </c>
      <c r="B935" s="123">
        <v>2641</v>
      </c>
      <c r="C935" s="124">
        <v>0</v>
      </c>
      <c r="D935" s="123">
        <v>52</v>
      </c>
      <c r="E935" s="147">
        <v>3.026</v>
      </c>
      <c r="F935" s="161">
        <v>1</v>
      </c>
      <c r="G935" s="145">
        <v>0</v>
      </c>
      <c r="H935" s="161">
        <v>0</v>
      </c>
      <c r="I935" s="145">
        <v>0</v>
      </c>
      <c r="J935" s="123">
        <v>0</v>
      </c>
      <c r="K935" s="124">
        <v>1</v>
      </c>
      <c r="L935" s="123">
        <v>0</v>
      </c>
      <c r="M935" s="124">
        <v>0</v>
      </c>
      <c r="N935" s="123">
        <v>0</v>
      </c>
      <c r="O935" s="307">
        <v>1</v>
      </c>
    </row>
    <row r="936" spans="1:15" ht="12.75">
      <c r="A936" s="269">
        <v>177</v>
      </c>
      <c r="B936" s="123">
        <v>4170</v>
      </c>
      <c r="C936" s="124">
        <v>1</v>
      </c>
      <c r="D936" s="123">
        <v>55</v>
      </c>
      <c r="E936" s="147">
        <v>2.992</v>
      </c>
      <c r="F936" s="161">
        <v>1</v>
      </c>
      <c r="G936" s="145">
        <v>0</v>
      </c>
      <c r="H936" s="161">
        <v>0</v>
      </c>
      <c r="I936" s="145">
        <v>0</v>
      </c>
      <c r="J936" s="123">
        <v>0</v>
      </c>
      <c r="K936" s="124">
        <v>1</v>
      </c>
      <c r="L936" s="123">
        <v>0</v>
      </c>
      <c r="M936" s="124">
        <v>0</v>
      </c>
      <c r="N936" s="123">
        <v>1</v>
      </c>
      <c r="O936" s="307">
        <v>0</v>
      </c>
    </row>
    <row r="937" spans="1:15" ht="12.75">
      <c r="A937" s="269">
        <v>183</v>
      </c>
      <c r="B937" s="123">
        <v>4212</v>
      </c>
      <c r="C937" s="124">
        <v>0</v>
      </c>
      <c r="D937" s="123">
        <v>54</v>
      </c>
      <c r="E937" s="147">
        <v>3.047</v>
      </c>
      <c r="F937" s="161">
        <v>1</v>
      </c>
      <c r="G937" s="145">
        <v>0</v>
      </c>
      <c r="H937" s="161">
        <v>0</v>
      </c>
      <c r="I937" s="145">
        <v>0</v>
      </c>
      <c r="J937" s="123">
        <v>0</v>
      </c>
      <c r="K937" s="124">
        <v>1</v>
      </c>
      <c r="L937" s="123">
        <v>0</v>
      </c>
      <c r="M937" s="124">
        <v>0</v>
      </c>
      <c r="N937" s="123">
        <v>0</v>
      </c>
      <c r="O937" s="307">
        <v>1</v>
      </c>
    </row>
    <row r="938" spans="1:15" ht="12.75">
      <c r="A938" s="269">
        <v>189</v>
      </c>
      <c r="B938" s="123">
        <v>4554</v>
      </c>
      <c r="C938" s="124">
        <v>1</v>
      </c>
      <c r="D938" s="123">
        <v>55</v>
      </c>
      <c r="E938" s="147">
        <v>2.886</v>
      </c>
      <c r="F938" s="161">
        <v>1</v>
      </c>
      <c r="G938" s="145">
        <v>0</v>
      </c>
      <c r="H938" s="161">
        <v>0</v>
      </c>
      <c r="I938" s="145">
        <v>0</v>
      </c>
      <c r="J938" s="123">
        <v>0</v>
      </c>
      <c r="K938" s="124">
        <v>1</v>
      </c>
      <c r="L938" s="123">
        <v>0</v>
      </c>
      <c r="M938" s="124">
        <v>0</v>
      </c>
      <c r="N938" s="123">
        <v>1</v>
      </c>
      <c r="O938" s="307">
        <v>0</v>
      </c>
    </row>
    <row r="939" spans="1:15" ht="12.75">
      <c r="A939" s="269">
        <v>190</v>
      </c>
      <c r="B939" s="123">
        <v>1420</v>
      </c>
      <c r="C939" s="124">
        <v>0</v>
      </c>
      <c r="D939" s="123">
        <v>55</v>
      </c>
      <c r="E939" s="147">
        <v>2.905</v>
      </c>
      <c r="F939" s="161">
        <v>1</v>
      </c>
      <c r="G939" s="145">
        <v>0</v>
      </c>
      <c r="H939" s="161">
        <v>0</v>
      </c>
      <c r="I939" s="145">
        <v>0</v>
      </c>
      <c r="J939" s="123">
        <v>0</v>
      </c>
      <c r="K939" s="124">
        <v>1</v>
      </c>
      <c r="L939" s="123">
        <v>0</v>
      </c>
      <c r="M939" s="124">
        <v>1</v>
      </c>
      <c r="N939" s="123">
        <v>0</v>
      </c>
      <c r="O939" s="307">
        <v>0</v>
      </c>
    </row>
    <row r="940" spans="1:15" ht="12.75">
      <c r="A940" s="269">
        <v>193</v>
      </c>
      <c r="B940" s="123">
        <v>1941</v>
      </c>
      <c r="C940" s="124">
        <v>1</v>
      </c>
      <c r="D940" s="123">
        <v>53</v>
      </c>
      <c r="E940" s="147">
        <v>3.043</v>
      </c>
      <c r="F940" s="161">
        <v>1</v>
      </c>
      <c r="G940" s="145">
        <v>0</v>
      </c>
      <c r="H940" s="161">
        <v>0</v>
      </c>
      <c r="I940" s="145">
        <v>0</v>
      </c>
      <c r="J940" s="123">
        <v>0</v>
      </c>
      <c r="K940" s="124">
        <v>1</v>
      </c>
      <c r="L940" s="123">
        <v>0</v>
      </c>
      <c r="M940" s="124">
        <v>0</v>
      </c>
      <c r="N940" s="123">
        <v>1</v>
      </c>
      <c r="O940" s="307">
        <v>0</v>
      </c>
    </row>
    <row r="941" spans="1:15" ht="12.75">
      <c r="A941" s="269">
        <v>197</v>
      </c>
      <c r="B941" s="123">
        <v>4354</v>
      </c>
      <c r="C941" s="124">
        <v>1</v>
      </c>
      <c r="D941" s="123">
        <v>55</v>
      </c>
      <c r="E941" s="147">
        <v>2.901</v>
      </c>
      <c r="F941" s="161">
        <v>1</v>
      </c>
      <c r="G941" s="145">
        <v>0</v>
      </c>
      <c r="H941" s="161">
        <v>0</v>
      </c>
      <c r="I941" s="145">
        <v>0</v>
      </c>
      <c r="J941" s="123">
        <v>0</v>
      </c>
      <c r="K941" s="124">
        <v>1</v>
      </c>
      <c r="L941" s="123">
        <v>0</v>
      </c>
      <c r="M941" s="124">
        <v>0</v>
      </c>
      <c r="N941" s="123">
        <v>1</v>
      </c>
      <c r="O941" s="307">
        <v>0</v>
      </c>
    </row>
    <row r="942" spans="1:15" ht="12.75">
      <c r="A942" s="269">
        <v>203</v>
      </c>
      <c r="B942" s="123">
        <v>3388</v>
      </c>
      <c r="C942" s="124">
        <v>1</v>
      </c>
      <c r="D942" s="123">
        <v>53</v>
      </c>
      <c r="E942" s="147">
        <v>2.975</v>
      </c>
      <c r="F942" s="161">
        <v>1</v>
      </c>
      <c r="G942" s="145">
        <v>0</v>
      </c>
      <c r="H942" s="161">
        <v>0</v>
      </c>
      <c r="I942" s="145">
        <v>0</v>
      </c>
      <c r="J942" s="123">
        <v>0</v>
      </c>
      <c r="K942" s="124">
        <v>1</v>
      </c>
      <c r="L942" s="123">
        <v>0</v>
      </c>
      <c r="M942" s="124">
        <v>1</v>
      </c>
      <c r="N942" s="123">
        <v>0</v>
      </c>
      <c r="O942" s="307">
        <v>0</v>
      </c>
    </row>
    <row r="943" spans="1:15" ht="12.75">
      <c r="A943" s="269">
        <v>204</v>
      </c>
      <c r="B943" s="123">
        <v>4129</v>
      </c>
      <c r="C943" s="124">
        <v>1</v>
      </c>
      <c r="D943" s="123">
        <v>51</v>
      </c>
      <c r="E943" s="147">
        <v>3.067</v>
      </c>
      <c r="F943" s="161">
        <v>1</v>
      </c>
      <c r="G943" s="145">
        <v>0</v>
      </c>
      <c r="H943" s="161">
        <v>0</v>
      </c>
      <c r="I943" s="145">
        <v>0</v>
      </c>
      <c r="J943" s="123">
        <v>0</v>
      </c>
      <c r="K943" s="124">
        <v>1</v>
      </c>
      <c r="L943" s="123">
        <v>0</v>
      </c>
      <c r="M943" s="124">
        <v>0</v>
      </c>
      <c r="N943" s="123">
        <v>0</v>
      </c>
      <c r="O943" s="307">
        <v>1</v>
      </c>
    </row>
    <row r="944" spans="1:15" ht="12.75">
      <c r="A944" s="269">
        <v>221</v>
      </c>
      <c r="B944" s="123">
        <v>3995</v>
      </c>
      <c r="C944" s="124">
        <v>0</v>
      </c>
      <c r="D944" s="123">
        <v>53</v>
      </c>
      <c r="E944" s="147">
        <v>3.008</v>
      </c>
      <c r="F944" s="161">
        <v>1</v>
      </c>
      <c r="G944" s="145">
        <v>0</v>
      </c>
      <c r="H944" s="161">
        <v>0</v>
      </c>
      <c r="I944" s="145">
        <v>0</v>
      </c>
      <c r="J944" s="123">
        <v>0</v>
      </c>
      <c r="K944" s="124">
        <v>1</v>
      </c>
      <c r="L944" s="123">
        <v>0</v>
      </c>
      <c r="M944" s="124">
        <v>0</v>
      </c>
      <c r="N944" s="123">
        <v>0</v>
      </c>
      <c r="O944" s="307">
        <v>1</v>
      </c>
    </row>
    <row r="945" spans="1:15" ht="12.75">
      <c r="A945" s="269">
        <v>228</v>
      </c>
      <c r="B945" s="123">
        <v>2820</v>
      </c>
      <c r="C945" s="124">
        <v>1</v>
      </c>
      <c r="D945" s="123">
        <v>56</v>
      </c>
      <c r="E945" s="147">
        <v>2.952</v>
      </c>
      <c r="F945" s="161">
        <v>1</v>
      </c>
      <c r="G945" s="145">
        <v>0</v>
      </c>
      <c r="H945" s="161">
        <v>0</v>
      </c>
      <c r="I945" s="145">
        <v>0</v>
      </c>
      <c r="J945" s="123">
        <v>0</v>
      </c>
      <c r="K945" s="124">
        <v>1</v>
      </c>
      <c r="L945" s="123">
        <v>0</v>
      </c>
      <c r="M945" s="124">
        <v>1</v>
      </c>
      <c r="N945" s="123">
        <v>0</v>
      </c>
      <c r="O945" s="307">
        <v>0</v>
      </c>
    </row>
    <row r="946" spans="1:15" ht="12.75">
      <c r="A946" s="269">
        <v>232</v>
      </c>
      <c r="B946" s="123">
        <v>3345</v>
      </c>
      <c r="C946" s="124">
        <v>1</v>
      </c>
      <c r="D946" s="123">
        <v>53</v>
      </c>
      <c r="E946" s="147">
        <v>2.604</v>
      </c>
      <c r="F946" s="161">
        <v>1</v>
      </c>
      <c r="G946" s="145">
        <v>0</v>
      </c>
      <c r="H946" s="161">
        <v>0</v>
      </c>
      <c r="I946" s="145">
        <v>0</v>
      </c>
      <c r="J946" s="123">
        <v>0</v>
      </c>
      <c r="K946" s="124">
        <v>1</v>
      </c>
      <c r="L946" s="123">
        <v>0</v>
      </c>
      <c r="M946" s="124">
        <v>1</v>
      </c>
      <c r="N946" s="123">
        <v>0</v>
      </c>
      <c r="O946" s="307">
        <v>0</v>
      </c>
    </row>
    <row r="947" spans="1:15" ht="12.75">
      <c r="A947" s="269">
        <v>240</v>
      </c>
      <c r="B947" s="123">
        <v>1141</v>
      </c>
      <c r="C947" s="124">
        <v>1</v>
      </c>
      <c r="D947" s="123">
        <v>53</v>
      </c>
      <c r="E947" s="147">
        <v>2.969</v>
      </c>
      <c r="F947" s="161">
        <v>1</v>
      </c>
      <c r="G947" s="145">
        <v>0</v>
      </c>
      <c r="H947" s="161">
        <v>0</v>
      </c>
      <c r="I947" s="145">
        <v>0</v>
      </c>
      <c r="J947" s="123">
        <v>0</v>
      </c>
      <c r="K947" s="124">
        <v>1</v>
      </c>
      <c r="L947" s="123">
        <v>0</v>
      </c>
      <c r="M947" s="124">
        <v>0</v>
      </c>
      <c r="N947" s="123">
        <v>0</v>
      </c>
      <c r="O947" s="307">
        <v>1</v>
      </c>
    </row>
    <row r="948" spans="1:15" ht="12.75">
      <c r="A948" s="269">
        <v>255</v>
      </c>
      <c r="B948" s="123">
        <v>2362</v>
      </c>
      <c r="C948" s="124">
        <v>1</v>
      </c>
      <c r="D948" s="123">
        <v>51</v>
      </c>
      <c r="E948" s="147">
        <v>2.211</v>
      </c>
      <c r="F948" s="161">
        <v>1</v>
      </c>
      <c r="G948" s="145">
        <v>0</v>
      </c>
      <c r="H948" s="161">
        <v>0</v>
      </c>
      <c r="I948" s="145">
        <v>0</v>
      </c>
      <c r="J948" s="123">
        <v>0</v>
      </c>
      <c r="K948" s="124">
        <v>1</v>
      </c>
      <c r="L948" s="123">
        <v>0</v>
      </c>
      <c r="M948" s="124">
        <v>0</v>
      </c>
      <c r="N948" s="123">
        <v>0</v>
      </c>
      <c r="O948" s="307">
        <v>1</v>
      </c>
    </row>
    <row r="949" spans="1:12" s="15" customFormat="1" ht="12.75">
      <c r="A949" s="249"/>
      <c r="B949" s="124"/>
      <c r="C949" s="124"/>
      <c r="D949" s="124"/>
      <c r="E949" s="147"/>
      <c r="F949" s="145"/>
      <c r="G949" s="145"/>
      <c r="H949" s="145"/>
      <c r="I949" s="145"/>
      <c r="J949" s="124"/>
      <c r="K949" s="124">
        <f>SUM(K909:K948)</f>
        <v>40</v>
      </c>
      <c r="L949" s="124"/>
    </row>
    <row r="950" spans="1:15" ht="12.75">
      <c r="A950" s="269">
        <v>16</v>
      </c>
      <c r="B950" s="123">
        <v>1828</v>
      </c>
      <c r="C950" s="124">
        <v>1</v>
      </c>
      <c r="D950" s="123">
        <v>53</v>
      </c>
      <c r="E950" s="147">
        <v>2.348</v>
      </c>
      <c r="F950" s="161">
        <v>1</v>
      </c>
      <c r="G950" s="145">
        <v>0</v>
      </c>
      <c r="H950" s="161">
        <v>0</v>
      </c>
      <c r="I950" s="145">
        <v>0</v>
      </c>
      <c r="J950" s="123">
        <v>0</v>
      </c>
      <c r="K950" s="124">
        <v>0</v>
      </c>
      <c r="L950" s="123">
        <v>1</v>
      </c>
      <c r="M950" s="124">
        <v>0</v>
      </c>
      <c r="N950" s="123">
        <v>1</v>
      </c>
      <c r="O950" s="307">
        <v>0</v>
      </c>
    </row>
    <row r="951" spans="1:15" ht="12.75">
      <c r="A951" s="269">
        <v>94</v>
      </c>
      <c r="B951" s="123">
        <v>3329</v>
      </c>
      <c r="C951" s="124">
        <v>1</v>
      </c>
      <c r="D951" s="123">
        <v>53</v>
      </c>
      <c r="E951" s="147">
        <v>3.128</v>
      </c>
      <c r="F951" s="161">
        <v>1</v>
      </c>
      <c r="G951" s="145">
        <v>0</v>
      </c>
      <c r="H951" s="161">
        <v>0</v>
      </c>
      <c r="I951" s="145">
        <v>0</v>
      </c>
      <c r="J951" s="123">
        <v>0</v>
      </c>
      <c r="K951" s="124">
        <v>0</v>
      </c>
      <c r="L951" s="123">
        <v>1</v>
      </c>
      <c r="M951" s="124">
        <v>0</v>
      </c>
      <c r="N951" s="123">
        <v>1</v>
      </c>
      <c r="O951" s="307">
        <v>0</v>
      </c>
    </row>
    <row r="952" spans="1:15" ht="12.75">
      <c r="A952" s="269">
        <v>104</v>
      </c>
      <c r="B952" s="123">
        <v>2957</v>
      </c>
      <c r="C952" s="124">
        <v>1</v>
      </c>
      <c r="D952" s="123">
        <v>52</v>
      </c>
      <c r="E952" s="147">
        <v>2.781</v>
      </c>
      <c r="F952" s="161">
        <v>1</v>
      </c>
      <c r="G952" s="145">
        <v>0</v>
      </c>
      <c r="H952" s="161">
        <v>0</v>
      </c>
      <c r="I952" s="145">
        <v>0</v>
      </c>
      <c r="J952" s="123">
        <v>0</v>
      </c>
      <c r="K952" s="124">
        <v>0</v>
      </c>
      <c r="L952" s="123">
        <v>1</v>
      </c>
      <c r="M952" s="124">
        <v>0</v>
      </c>
      <c r="N952" s="123">
        <v>1</v>
      </c>
      <c r="O952" s="307">
        <v>0</v>
      </c>
    </row>
    <row r="953" spans="1:15" ht="12.75">
      <c r="A953" s="269">
        <v>159</v>
      </c>
      <c r="B953" s="123">
        <v>2028</v>
      </c>
      <c r="C953" s="124">
        <v>1</v>
      </c>
      <c r="D953" s="123">
        <v>53</v>
      </c>
      <c r="E953" s="147">
        <v>2.354</v>
      </c>
      <c r="F953" s="161">
        <v>1</v>
      </c>
      <c r="G953" s="145">
        <v>0</v>
      </c>
      <c r="H953" s="161">
        <v>0</v>
      </c>
      <c r="I953" s="145">
        <v>0</v>
      </c>
      <c r="J953" s="123">
        <v>0</v>
      </c>
      <c r="K953" s="124">
        <v>0</v>
      </c>
      <c r="L953" s="123">
        <v>1</v>
      </c>
      <c r="M953" s="124">
        <v>0</v>
      </c>
      <c r="N953" s="123">
        <v>1</v>
      </c>
      <c r="O953" s="307">
        <v>0</v>
      </c>
    </row>
    <row r="954" spans="1:15" ht="12.75">
      <c r="A954" s="269">
        <v>237</v>
      </c>
      <c r="B954" s="123">
        <v>3494</v>
      </c>
      <c r="C954" s="124">
        <v>1</v>
      </c>
      <c r="D954" s="123">
        <v>51</v>
      </c>
      <c r="E954" s="147">
        <v>2.521</v>
      </c>
      <c r="F954" s="161">
        <v>1</v>
      </c>
      <c r="G954" s="145">
        <v>0</v>
      </c>
      <c r="H954" s="161">
        <v>0</v>
      </c>
      <c r="I954" s="145">
        <v>0</v>
      </c>
      <c r="J954" s="123">
        <v>0</v>
      </c>
      <c r="K954" s="124">
        <v>0</v>
      </c>
      <c r="L954" s="123">
        <v>1</v>
      </c>
      <c r="M954" s="124">
        <v>0</v>
      </c>
      <c r="N954" s="123">
        <v>1</v>
      </c>
      <c r="O954" s="307">
        <v>0</v>
      </c>
    </row>
    <row r="955" spans="1:15" ht="12.75">
      <c r="A955" s="269">
        <v>252</v>
      </c>
      <c r="B955" s="123">
        <v>1824</v>
      </c>
      <c r="C955" s="124">
        <v>1</v>
      </c>
      <c r="D955" s="123">
        <v>55</v>
      </c>
      <c r="E955" s="147">
        <v>2.981</v>
      </c>
      <c r="F955" s="161">
        <v>1</v>
      </c>
      <c r="G955" s="145">
        <v>0</v>
      </c>
      <c r="H955" s="161">
        <v>0</v>
      </c>
      <c r="I955" s="145">
        <v>0</v>
      </c>
      <c r="J955" s="123">
        <v>0</v>
      </c>
      <c r="K955" s="124">
        <v>0</v>
      </c>
      <c r="L955" s="123">
        <v>1</v>
      </c>
      <c r="M955" s="124">
        <v>0</v>
      </c>
      <c r="N955" s="123">
        <v>0</v>
      </c>
      <c r="O955" s="307">
        <v>1</v>
      </c>
    </row>
    <row r="956" spans="1:15" ht="12.75">
      <c r="A956" s="269">
        <v>265</v>
      </c>
      <c r="B956" s="123">
        <v>2570</v>
      </c>
      <c r="C956" s="124">
        <v>0</v>
      </c>
      <c r="D956" s="123">
        <v>52</v>
      </c>
      <c r="E956" s="147">
        <v>2.748</v>
      </c>
      <c r="F956" s="161">
        <v>1</v>
      </c>
      <c r="G956" s="145">
        <v>0</v>
      </c>
      <c r="H956" s="161">
        <v>0</v>
      </c>
      <c r="I956" s="145">
        <v>0</v>
      </c>
      <c r="J956" s="123">
        <v>0</v>
      </c>
      <c r="K956" s="124">
        <v>0</v>
      </c>
      <c r="L956" s="123">
        <v>1</v>
      </c>
      <c r="M956" s="124">
        <v>0</v>
      </c>
      <c r="N956" s="123">
        <v>1</v>
      </c>
      <c r="O956" s="307">
        <v>0</v>
      </c>
    </row>
    <row r="957" spans="1:12" s="15" customFormat="1" ht="12.75">
      <c r="A957" s="249"/>
      <c r="B957" s="124"/>
      <c r="C957" s="124"/>
      <c r="D957" s="124"/>
      <c r="E957" s="147"/>
      <c r="F957" s="145"/>
      <c r="G957" s="145"/>
      <c r="H957" s="145"/>
      <c r="I957" s="145"/>
      <c r="J957" s="124"/>
      <c r="K957" s="124"/>
      <c r="L957" s="124">
        <f>SUM(L950:L956)</f>
        <v>7</v>
      </c>
    </row>
    <row r="958" spans="1:15" ht="13.5" thickBot="1">
      <c r="A958" s="322" t="s">
        <v>1</v>
      </c>
      <c r="B958" s="323" t="s">
        <v>2</v>
      </c>
      <c r="C958" s="323" t="s">
        <v>9</v>
      </c>
      <c r="D958" s="323" t="s">
        <v>10</v>
      </c>
      <c r="E958" s="323" t="s">
        <v>11</v>
      </c>
      <c r="F958" s="324" t="s">
        <v>12</v>
      </c>
      <c r="G958" s="323" t="s">
        <v>13</v>
      </c>
      <c r="H958" s="323" t="s">
        <v>14</v>
      </c>
      <c r="I958" s="323" t="s">
        <v>15</v>
      </c>
      <c r="J958" s="323" t="s">
        <v>16</v>
      </c>
      <c r="K958" s="323" t="s">
        <v>17</v>
      </c>
      <c r="L958" s="323" t="s">
        <v>18</v>
      </c>
      <c r="M958" s="323" t="s">
        <v>19</v>
      </c>
      <c r="N958" s="323" t="s">
        <v>20</v>
      </c>
      <c r="O958" s="325" t="s">
        <v>21</v>
      </c>
    </row>
    <row r="959" spans="1:15" ht="13.5" thickTop="1">
      <c r="A959" s="269">
        <v>47</v>
      </c>
      <c r="B959" s="123">
        <v>3849</v>
      </c>
      <c r="C959" s="124">
        <v>1</v>
      </c>
      <c r="D959" s="123">
        <v>55</v>
      </c>
      <c r="E959" s="147">
        <v>3.001</v>
      </c>
      <c r="F959" s="161">
        <v>0</v>
      </c>
      <c r="G959" s="145">
        <v>1</v>
      </c>
      <c r="H959" s="161">
        <v>0</v>
      </c>
      <c r="I959" s="145">
        <v>0</v>
      </c>
      <c r="J959" s="123">
        <v>1</v>
      </c>
      <c r="K959" s="124">
        <v>0</v>
      </c>
      <c r="L959" s="123">
        <v>0</v>
      </c>
      <c r="M959" s="124">
        <v>1</v>
      </c>
      <c r="N959" s="123">
        <v>0</v>
      </c>
      <c r="O959" s="307">
        <v>0</v>
      </c>
    </row>
    <row r="960" spans="1:15" ht="12.75">
      <c r="A960" s="269">
        <v>49</v>
      </c>
      <c r="B960" s="123">
        <v>1830</v>
      </c>
      <c r="C960" s="124">
        <v>0</v>
      </c>
      <c r="D960" s="123">
        <v>52</v>
      </c>
      <c r="E960" s="147">
        <v>3.268</v>
      </c>
      <c r="F960" s="161">
        <v>0</v>
      </c>
      <c r="G960" s="145">
        <v>1</v>
      </c>
      <c r="H960" s="161">
        <v>0</v>
      </c>
      <c r="I960" s="145">
        <v>0</v>
      </c>
      <c r="J960" s="123">
        <v>1</v>
      </c>
      <c r="K960" s="124">
        <v>0</v>
      </c>
      <c r="L960" s="123">
        <v>0</v>
      </c>
      <c r="M960" s="124">
        <v>1</v>
      </c>
      <c r="N960" s="123">
        <v>0</v>
      </c>
      <c r="O960" s="307">
        <v>0</v>
      </c>
    </row>
    <row r="961" spans="1:15" ht="12.75">
      <c r="A961" s="269">
        <v>86</v>
      </c>
      <c r="B961" s="123">
        <v>2312</v>
      </c>
      <c r="C961" s="124">
        <v>0</v>
      </c>
      <c r="D961" s="123">
        <v>52</v>
      </c>
      <c r="E961" s="147">
        <v>3.239</v>
      </c>
      <c r="F961" s="161">
        <v>0</v>
      </c>
      <c r="G961" s="145">
        <v>1</v>
      </c>
      <c r="H961" s="161">
        <v>0</v>
      </c>
      <c r="I961" s="145">
        <v>0</v>
      </c>
      <c r="J961" s="123">
        <v>1</v>
      </c>
      <c r="K961" s="124">
        <v>0</v>
      </c>
      <c r="L961" s="123">
        <v>0</v>
      </c>
      <c r="M961" s="124">
        <v>1</v>
      </c>
      <c r="N961" s="123">
        <v>0</v>
      </c>
      <c r="O961" s="307">
        <v>0</v>
      </c>
    </row>
    <row r="962" spans="1:15" ht="12.75">
      <c r="A962" s="269">
        <v>109</v>
      </c>
      <c r="B962" s="123">
        <v>285</v>
      </c>
      <c r="C962" s="124">
        <v>0</v>
      </c>
      <c r="D962" s="123">
        <v>55</v>
      </c>
      <c r="E962" s="147">
        <v>3.313</v>
      </c>
      <c r="F962" s="161">
        <v>0</v>
      </c>
      <c r="G962" s="145">
        <v>1</v>
      </c>
      <c r="H962" s="161">
        <v>0</v>
      </c>
      <c r="I962" s="145">
        <v>0</v>
      </c>
      <c r="J962" s="123">
        <v>1</v>
      </c>
      <c r="K962" s="124">
        <v>0</v>
      </c>
      <c r="L962" s="123">
        <v>0</v>
      </c>
      <c r="M962" s="124">
        <v>1</v>
      </c>
      <c r="N962" s="123">
        <v>0</v>
      </c>
      <c r="O962" s="307">
        <v>0</v>
      </c>
    </row>
    <row r="963" spans="1:15" ht="12.75">
      <c r="A963" s="269">
        <v>166</v>
      </c>
      <c r="B963" s="123">
        <v>4338</v>
      </c>
      <c r="C963" s="124">
        <v>1</v>
      </c>
      <c r="D963" s="123">
        <v>52</v>
      </c>
      <c r="E963" s="147">
        <v>3.319</v>
      </c>
      <c r="F963" s="161">
        <v>0</v>
      </c>
      <c r="G963" s="145">
        <v>1</v>
      </c>
      <c r="H963" s="161">
        <v>0</v>
      </c>
      <c r="I963" s="145">
        <v>0</v>
      </c>
      <c r="J963" s="123">
        <v>1</v>
      </c>
      <c r="K963" s="124">
        <v>0</v>
      </c>
      <c r="L963" s="123">
        <v>0</v>
      </c>
      <c r="M963" s="124">
        <v>1</v>
      </c>
      <c r="N963" s="123">
        <v>0</v>
      </c>
      <c r="O963" s="307">
        <v>0</v>
      </c>
    </row>
    <row r="964" spans="1:15" ht="12.75">
      <c r="A964" s="269">
        <v>181</v>
      </c>
      <c r="B964" s="123">
        <v>3565</v>
      </c>
      <c r="C964" s="124">
        <v>1</v>
      </c>
      <c r="D964" s="123">
        <v>54</v>
      </c>
      <c r="E964" s="147">
        <v>3.228</v>
      </c>
      <c r="F964" s="161">
        <v>0</v>
      </c>
      <c r="G964" s="145">
        <v>1</v>
      </c>
      <c r="H964" s="161">
        <v>0</v>
      </c>
      <c r="I964" s="145">
        <v>0</v>
      </c>
      <c r="J964" s="123">
        <v>1</v>
      </c>
      <c r="K964" s="124">
        <v>0</v>
      </c>
      <c r="L964" s="123">
        <v>0</v>
      </c>
      <c r="M964" s="124">
        <v>1</v>
      </c>
      <c r="N964" s="123">
        <v>0</v>
      </c>
      <c r="O964" s="307">
        <v>0</v>
      </c>
    </row>
    <row r="965" spans="1:15" ht="12.75">
      <c r="A965" s="269">
        <v>216</v>
      </c>
      <c r="B965" s="123">
        <v>3794</v>
      </c>
      <c r="C965" s="124">
        <v>1</v>
      </c>
      <c r="D965" s="123">
        <v>56</v>
      </c>
      <c r="E965" s="147">
        <v>3.349</v>
      </c>
      <c r="F965" s="161">
        <v>0</v>
      </c>
      <c r="G965" s="145">
        <v>1</v>
      </c>
      <c r="H965" s="161">
        <v>0</v>
      </c>
      <c r="I965" s="145">
        <v>0</v>
      </c>
      <c r="J965" s="123">
        <v>1</v>
      </c>
      <c r="K965" s="124">
        <v>0</v>
      </c>
      <c r="L965" s="123">
        <v>0</v>
      </c>
      <c r="M965" s="124">
        <v>1</v>
      </c>
      <c r="N965" s="123">
        <v>0</v>
      </c>
      <c r="O965" s="307">
        <v>0</v>
      </c>
    </row>
    <row r="966" spans="1:15" ht="12.75">
      <c r="A966" s="269">
        <v>233</v>
      </c>
      <c r="B966" s="123">
        <v>1468</v>
      </c>
      <c r="C966" s="124">
        <v>0</v>
      </c>
      <c r="D966" s="123">
        <v>53</v>
      </c>
      <c r="E966" s="147">
        <v>3.193</v>
      </c>
      <c r="F966" s="161">
        <v>0</v>
      </c>
      <c r="G966" s="145">
        <v>1</v>
      </c>
      <c r="H966" s="161">
        <v>0</v>
      </c>
      <c r="I966" s="145">
        <v>0</v>
      </c>
      <c r="J966" s="123">
        <v>1</v>
      </c>
      <c r="K966" s="124">
        <v>0</v>
      </c>
      <c r="L966" s="123">
        <v>0</v>
      </c>
      <c r="M966" s="124">
        <v>1</v>
      </c>
      <c r="N966" s="123">
        <v>0</v>
      </c>
      <c r="O966" s="307">
        <v>0</v>
      </c>
    </row>
    <row r="967" spans="1:12" s="15" customFormat="1" ht="12.75">
      <c r="A967" s="249"/>
      <c r="B967" s="124"/>
      <c r="C967" s="124"/>
      <c r="D967" s="124"/>
      <c r="E967" s="147"/>
      <c r="F967" s="145"/>
      <c r="G967" s="145"/>
      <c r="H967" s="145"/>
      <c r="I967" s="145"/>
      <c r="J967" s="124">
        <f>SUM(J959:J966)</f>
        <v>8</v>
      </c>
      <c r="K967" s="124"/>
      <c r="L967" s="124"/>
    </row>
    <row r="968" spans="1:15" ht="12.75">
      <c r="A968" s="269">
        <v>1</v>
      </c>
      <c r="B968" s="123">
        <v>3231</v>
      </c>
      <c r="C968" s="124">
        <v>1</v>
      </c>
      <c r="D968" s="123">
        <v>52</v>
      </c>
      <c r="E968" s="147">
        <v>3.199</v>
      </c>
      <c r="F968" s="161">
        <v>0</v>
      </c>
      <c r="G968" s="145">
        <v>1</v>
      </c>
      <c r="H968" s="161">
        <v>0</v>
      </c>
      <c r="I968" s="145">
        <v>0</v>
      </c>
      <c r="J968" s="123">
        <v>0</v>
      </c>
      <c r="K968" s="124">
        <v>1</v>
      </c>
      <c r="L968" s="123">
        <v>0</v>
      </c>
      <c r="M968" s="124">
        <v>0</v>
      </c>
      <c r="N968" s="123">
        <v>0</v>
      </c>
      <c r="O968" s="307">
        <v>1</v>
      </c>
    </row>
    <row r="969" spans="1:15" ht="12.75">
      <c r="A969" s="269">
        <v>3</v>
      </c>
      <c r="B969" s="123">
        <v>2318</v>
      </c>
      <c r="C969" s="124">
        <v>0</v>
      </c>
      <c r="D969" s="123">
        <v>53</v>
      </c>
      <c r="E969" s="147">
        <v>3.346</v>
      </c>
      <c r="F969" s="161">
        <v>0</v>
      </c>
      <c r="G969" s="145">
        <v>1</v>
      </c>
      <c r="H969" s="161">
        <v>0</v>
      </c>
      <c r="I969" s="145">
        <v>0</v>
      </c>
      <c r="J969" s="123">
        <v>0</v>
      </c>
      <c r="K969" s="124">
        <v>1</v>
      </c>
      <c r="L969" s="123">
        <v>0</v>
      </c>
      <c r="M969" s="124">
        <v>0</v>
      </c>
      <c r="N969" s="123">
        <v>1</v>
      </c>
      <c r="O969" s="307">
        <v>0</v>
      </c>
    </row>
    <row r="970" spans="1:15" ht="12.75">
      <c r="A970" s="269">
        <v>4</v>
      </c>
      <c r="B970" s="123">
        <v>1608</v>
      </c>
      <c r="C970" s="124">
        <v>0</v>
      </c>
      <c r="D970" s="123">
        <v>54</v>
      </c>
      <c r="E970" s="147">
        <v>3.15</v>
      </c>
      <c r="F970" s="161">
        <v>0</v>
      </c>
      <c r="G970" s="145">
        <v>1</v>
      </c>
      <c r="H970" s="161">
        <v>0</v>
      </c>
      <c r="I970" s="145">
        <v>0</v>
      </c>
      <c r="J970" s="123">
        <v>0</v>
      </c>
      <c r="K970" s="124">
        <v>1</v>
      </c>
      <c r="L970" s="123">
        <v>0</v>
      </c>
      <c r="M970" s="124">
        <v>1</v>
      </c>
      <c r="N970" s="123">
        <v>0</v>
      </c>
      <c r="O970" s="307">
        <v>0</v>
      </c>
    </row>
    <row r="971" spans="1:15" ht="12.75">
      <c r="A971" s="269">
        <v>6</v>
      </c>
      <c r="B971" s="123">
        <v>253</v>
      </c>
      <c r="C971" s="124">
        <v>0</v>
      </c>
      <c r="D971" s="123">
        <v>55</v>
      </c>
      <c r="E971" s="147">
        <v>3.347</v>
      </c>
      <c r="F971" s="161">
        <v>0</v>
      </c>
      <c r="G971" s="145">
        <v>1</v>
      </c>
      <c r="H971" s="161">
        <v>0</v>
      </c>
      <c r="I971" s="145">
        <v>0</v>
      </c>
      <c r="J971" s="123">
        <v>0</v>
      </c>
      <c r="K971" s="124">
        <v>1</v>
      </c>
      <c r="L971" s="123">
        <v>0</v>
      </c>
      <c r="M971" s="124">
        <v>0</v>
      </c>
      <c r="N971" s="123">
        <v>1</v>
      </c>
      <c r="O971" s="307">
        <v>0</v>
      </c>
    </row>
    <row r="972" spans="1:15" ht="12.75">
      <c r="A972" s="269">
        <v>8</v>
      </c>
      <c r="B972" s="123">
        <v>237</v>
      </c>
      <c r="C972" s="124">
        <v>1</v>
      </c>
      <c r="D972" s="123">
        <v>52</v>
      </c>
      <c r="E972" s="147">
        <v>3.156</v>
      </c>
      <c r="F972" s="161">
        <v>0</v>
      </c>
      <c r="G972" s="145">
        <v>1</v>
      </c>
      <c r="H972" s="161">
        <v>0</v>
      </c>
      <c r="I972" s="145">
        <v>0</v>
      </c>
      <c r="J972" s="123">
        <v>0</v>
      </c>
      <c r="K972" s="124">
        <v>1</v>
      </c>
      <c r="L972" s="123">
        <v>0</v>
      </c>
      <c r="M972" s="124">
        <v>0</v>
      </c>
      <c r="N972" s="123">
        <v>1</v>
      </c>
      <c r="O972" s="307">
        <v>0</v>
      </c>
    </row>
    <row r="973" spans="1:15" ht="12.75">
      <c r="A973" s="269">
        <v>9</v>
      </c>
      <c r="B973" s="123">
        <v>2422</v>
      </c>
      <c r="C973" s="124">
        <v>0</v>
      </c>
      <c r="D973" s="123">
        <v>55</v>
      </c>
      <c r="E973" s="147">
        <v>3.245</v>
      </c>
      <c r="F973" s="161">
        <v>0</v>
      </c>
      <c r="G973" s="145">
        <v>1</v>
      </c>
      <c r="H973" s="161">
        <v>0</v>
      </c>
      <c r="I973" s="145">
        <v>0</v>
      </c>
      <c r="J973" s="123">
        <v>0</v>
      </c>
      <c r="K973" s="124">
        <v>1</v>
      </c>
      <c r="L973" s="123">
        <v>0</v>
      </c>
      <c r="M973" s="124">
        <v>1</v>
      </c>
      <c r="N973" s="123">
        <v>0</v>
      </c>
      <c r="O973" s="307">
        <v>0</v>
      </c>
    </row>
    <row r="974" spans="1:15" ht="12.75">
      <c r="A974" s="269">
        <v>10</v>
      </c>
      <c r="B974" s="123">
        <v>2043</v>
      </c>
      <c r="C974" s="124">
        <v>0</v>
      </c>
      <c r="D974" s="123">
        <v>55</v>
      </c>
      <c r="E974" s="147">
        <v>3.152</v>
      </c>
      <c r="F974" s="161">
        <v>0</v>
      </c>
      <c r="G974" s="145">
        <v>1</v>
      </c>
      <c r="H974" s="161">
        <v>0</v>
      </c>
      <c r="I974" s="145">
        <v>0</v>
      </c>
      <c r="J974" s="123">
        <v>0</v>
      </c>
      <c r="K974" s="124">
        <v>1</v>
      </c>
      <c r="L974" s="123">
        <v>0</v>
      </c>
      <c r="M974" s="124">
        <v>1</v>
      </c>
      <c r="N974" s="123">
        <v>0</v>
      </c>
      <c r="O974" s="307">
        <v>0</v>
      </c>
    </row>
    <row r="975" spans="1:15" ht="12.75">
      <c r="A975" s="269">
        <v>14</v>
      </c>
      <c r="B975" s="123">
        <v>930</v>
      </c>
      <c r="C975" s="124">
        <v>0</v>
      </c>
      <c r="D975" s="123">
        <v>52</v>
      </c>
      <c r="E975" s="147">
        <v>3.321</v>
      </c>
      <c r="F975" s="161">
        <v>0</v>
      </c>
      <c r="G975" s="145">
        <v>1</v>
      </c>
      <c r="H975" s="161">
        <v>0</v>
      </c>
      <c r="I975" s="145">
        <v>0</v>
      </c>
      <c r="J975" s="123">
        <v>0</v>
      </c>
      <c r="K975" s="124">
        <v>1</v>
      </c>
      <c r="L975" s="123">
        <v>0</v>
      </c>
      <c r="M975" s="124">
        <v>0</v>
      </c>
      <c r="N975" s="123">
        <v>1</v>
      </c>
      <c r="O975" s="307">
        <v>0</v>
      </c>
    </row>
    <row r="976" spans="1:15" ht="12.75">
      <c r="A976" s="269">
        <v>17</v>
      </c>
      <c r="B976" s="123">
        <v>544</v>
      </c>
      <c r="C976" s="124">
        <v>1</v>
      </c>
      <c r="D976" s="123">
        <v>56</v>
      </c>
      <c r="E976" s="147">
        <v>3.36</v>
      </c>
      <c r="F976" s="161">
        <v>0</v>
      </c>
      <c r="G976" s="145">
        <v>1</v>
      </c>
      <c r="H976" s="161">
        <v>0</v>
      </c>
      <c r="I976" s="145">
        <v>0</v>
      </c>
      <c r="J976" s="123">
        <v>0</v>
      </c>
      <c r="K976" s="124">
        <v>1</v>
      </c>
      <c r="L976" s="123">
        <v>0</v>
      </c>
      <c r="M976" s="124">
        <v>1</v>
      </c>
      <c r="N976" s="123">
        <v>0</v>
      </c>
      <c r="O976" s="307">
        <v>0</v>
      </c>
    </row>
    <row r="977" spans="1:15" ht="12.75">
      <c r="A977" s="269">
        <v>24</v>
      </c>
      <c r="B977" s="123">
        <v>212</v>
      </c>
      <c r="C977" s="124">
        <v>1</v>
      </c>
      <c r="D977" s="123">
        <v>51</v>
      </c>
      <c r="E977" s="147">
        <v>3.301</v>
      </c>
      <c r="F977" s="161">
        <v>0</v>
      </c>
      <c r="G977" s="145">
        <v>1</v>
      </c>
      <c r="H977" s="161">
        <v>0</v>
      </c>
      <c r="I977" s="145">
        <v>0</v>
      </c>
      <c r="J977" s="123">
        <v>0</v>
      </c>
      <c r="K977" s="124">
        <v>1</v>
      </c>
      <c r="L977" s="123">
        <v>0</v>
      </c>
      <c r="M977" s="124">
        <v>1</v>
      </c>
      <c r="N977" s="123">
        <v>0</v>
      </c>
      <c r="O977" s="307">
        <v>0</v>
      </c>
    </row>
    <row r="978" spans="1:15" ht="12.75">
      <c r="A978" s="269">
        <v>26</v>
      </c>
      <c r="B978" s="123">
        <v>1485</v>
      </c>
      <c r="C978" s="124">
        <v>1</v>
      </c>
      <c r="D978" s="123">
        <v>54</v>
      </c>
      <c r="E978" s="147">
        <v>3.464</v>
      </c>
      <c r="F978" s="161">
        <v>0</v>
      </c>
      <c r="G978" s="145">
        <v>1</v>
      </c>
      <c r="H978" s="161">
        <v>0</v>
      </c>
      <c r="I978" s="145">
        <v>0</v>
      </c>
      <c r="J978" s="123">
        <v>0</v>
      </c>
      <c r="K978" s="124">
        <v>1</v>
      </c>
      <c r="L978" s="123">
        <v>0</v>
      </c>
      <c r="M978" s="124">
        <v>0</v>
      </c>
      <c r="N978" s="123">
        <v>1</v>
      </c>
      <c r="O978" s="307">
        <v>0</v>
      </c>
    </row>
    <row r="979" spans="1:15" ht="12.75">
      <c r="A979" s="269">
        <v>27</v>
      </c>
      <c r="B979" s="123">
        <v>853</v>
      </c>
      <c r="C979" s="124">
        <v>1</v>
      </c>
      <c r="D979" s="123">
        <v>56</v>
      </c>
      <c r="E979" s="147">
        <v>3.341</v>
      </c>
      <c r="F979" s="161">
        <v>0</v>
      </c>
      <c r="G979" s="145">
        <v>1</v>
      </c>
      <c r="H979" s="161">
        <v>0</v>
      </c>
      <c r="I979" s="145">
        <v>0</v>
      </c>
      <c r="J979" s="123">
        <v>0</v>
      </c>
      <c r="K979" s="124">
        <v>1</v>
      </c>
      <c r="L979" s="123">
        <v>0</v>
      </c>
      <c r="M979" s="124">
        <v>0</v>
      </c>
      <c r="N979" s="123">
        <v>1</v>
      </c>
      <c r="O979" s="307">
        <v>0</v>
      </c>
    </row>
    <row r="980" spans="1:15" ht="12.75">
      <c r="A980" s="269">
        <v>28</v>
      </c>
      <c r="B980" s="123">
        <v>2612</v>
      </c>
      <c r="C980" s="124">
        <v>0</v>
      </c>
      <c r="D980" s="123">
        <v>52</v>
      </c>
      <c r="E980" s="147">
        <v>3.242</v>
      </c>
      <c r="F980" s="161">
        <v>0</v>
      </c>
      <c r="G980" s="145">
        <v>1</v>
      </c>
      <c r="H980" s="161">
        <v>0</v>
      </c>
      <c r="I980" s="145">
        <v>0</v>
      </c>
      <c r="J980" s="123">
        <v>0</v>
      </c>
      <c r="K980" s="124">
        <v>1</v>
      </c>
      <c r="L980" s="123">
        <v>0</v>
      </c>
      <c r="M980" s="124">
        <v>0</v>
      </c>
      <c r="N980" s="123">
        <v>1</v>
      </c>
      <c r="O980" s="307">
        <v>0</v>
      </c>
    </row>
    <row r="981" spans="1:15" ht="12.75">
      <c r="A981" s="269">
        <v>29</v>
      </c>
      <c r="B981" s="123">
        <v>3959</v>
      </c>
      <c r="C981" s="124">
        <v>1</v>
      </c>
      <c r="D981" s="123">
        <v>54</v>
      </c>
      <c r="E981" s="147">
        <v>3.216</v>
      </c>
      <c r="F981" s="161">
        <v>0</v>
      </c>
      <c r="G981" s="145">
        <v>1</v>
      </c>
      <c r="H981" s="161">
        <v>0</v>
      </c>
      <c r="I981" s="145">
        <v>0</v>
      </c>
      <c r="J981" s="123">
        <v>0</v>
      </c>
      <c r="K981" s="124">
        <v>1</v>
      </c>
      <c r="L981" s="123">
        <v>0</v>
      </c>
      <c r="M981" s="124">
        <v>1</v>
      </c>
      <c r="N981" s="123">
        <v>0</v>
      </c>
      <c r="O981" s="307">
        <v>0</v>
      </c>
    </row>
    <row r="982" spans="1:15" ht="12.75">
      <c r="A982" s="269">
        <v>30</v>
      </c>
      <c r="B982" s="123">
        <v>1808</v>
      </c>
      <c r="C982" s="124">
        <v>1</v>
      </c>
      <c r="D982" s="123">
        <v>53</v>
      </c>
      <c r="E982" s="147">
        <v>3.127</v>
      </c>
      <c r="F982" s="161">
        <v>0</v>
      </c>
      <c r="G982" s="145">
        <v>1</v>
      </c>
      <c r="H982" s="161">
        <v>0</v>
      </c>
      <c r="I982" s="145">
        <v>0</v>
      </c>
      <c r="J982" s="123">
        <v>0</v>
      </c>
      <c r="K982" s="124">
        <v>1</v>
      </c>
      <c r="L982" s="123">
        <v>0</v>
      </c>
      <c r="M982" s="124">
        <v>1</v>
      </c>
      <c r="N982" s="123">
        <v>0</v>
      </c>
      <c r="O982" s="307">
        <v>0</v>
      </c>
    </row>
    <row r="983" spans="1:15" ht="12.75">
      <c r="A983" s="269">
        <v>39</v>
      </c>
      <c r="B983" s="123">
        <v>2810</v>
      </c>
      <c r="C983" s="124">
        <v>0</v>
      </c>
      <c r="D983" s="123">
        <v>53</v>
      </c>
      <c r="E983" s="147">
        <v>3.337</v>
      </c>
      <c r="F983" s="161">
        <v>0</v>
      </c>
      <c r="G983" s="145">
        <v>1</v>
      </c>
      <c r="H983" s="161">
        <v>0</v>
      </c>
      <c r="I983" s="145">
        <v>0</v>
      </c>
      <c r="J983" s="123">
        <v>0</v>
      </c>
      <c r="K983" s="124">
        <v>1</v>
      </c>
      <c r="L983" s="123">
        <v>0</v>
      </c>
      <c r="M983" s="124">
        <v>0</v>
      </c>
      <c r="N983" s="123">
        <v>0</v>
      </c>
      <c r="O983" s="307">
        <v>1</v>
      </c>
    </row>
    <row r="984" spans="1:15" ht="12.75">
      <c r="A984" s="269">
        <v>42</v>
      </c>
      <c r="B984" s="123">
        <v>3632</v>
      </c>
      <c r="C984" s="124">
        <v>1</v>
      </c>
      <c r="D984" s="123">
        <v>54</v>
      </c>
      <c r="E984" s="147">
        <v>3.468</v>
      </c>
      <c r="F984" s="161">
        <v>0</v>
      </c>
      <c r="G984" s="145">
        <v>1</v>
      </c>
      <c r="H984" s="161">
        <v>0</v>
      </c>
      <c r="I984" s="145">
        <v>0</v>
      </c>
      <c r="J984" s="123">
        <v>0</v>
      </c>
      <c r="K984" s="124">
        <v>1</v>
      </c>
      <c r="L984" s="123">
        <v>0</v>
      </c>
      <c r="M984" s="124">
        <v>1</v>
      </c>
      <c r="N984" s="123">
        <v>0</v>
      </c>
      <c r="O984" s="307">
        <v>0</v>
      </c>
    </row>
    <row r="985" spans="1:15" ht="12.75">
      <c r="A985" s="269">
        <v>57</v>
      </c>
      <c r="B985" s="123">
        <v>1881</v>
      </c>
      <c r="C985" s="124">
        <v>0</v>
      </c>
      <c r="D985" s="123">
        <v>53</v>
      </c>
      <c r="E985" s="147">
        <v>3.281</v>
      </c>
      <c r="F985" s="161">
        <v>0</v>
      </c>
      <c r="G985" s="145">
        <v>1</v>
      </c>
      <c r="H985" s="161">
        <v>0</v>
      </c>
      <c r="I985" s="145">
        <v>0</v>
      </c>
      <c r="J985" s="123">
        <v>0</v>
      </c>
      <c r="K985" s="124">
        <v>1</v>
      </c>
      <c r="L985" s="123">
        <v>0</v>
      </c>
      <c r="M985" s="124">
        <v>0</v>
      </c>
      <c r="N985" s="123">
        <v>1</v>
      </c>
      <c r="O985" s="307">
        <v>0</v>
      </c>
    </row>
    <row r="986" spans="1:15" ht="12.75">
      <c r="A986" s="269">
        <v>66</v>
      </c>
      <c r="B986" s="123">
        <v>4300</v>
      </c>
      <c r="C986" s="124">
        <v>1</v>
      </c>
      <c r="D986" s="123">
        <v>53</v>
      </c>
      <c r="E986" s="147">
        <v>3.203</v>
      </c>
      <c r="F986" s="161">
        <v>0</v>
      </c>
      <c r="G986" s="145">
        <v>1</v>
      </c>
      <c r="H986" s="161">
        <v>0</v>
      </c>
      <c r="I986" s="145">
        <v>0</v>
      </c>
      <c r="J986" s="123">
        <v>0</v>
      </c>
      <c r="K986" s="124">
        <v>1</v>
      </c>
      <c r="L986" s="123">
        <v>0</v>
      </c>
      <c r="M986" s="124">
        <v>0</v>
      </c>
      <c r="N986" s="123">
        <v>0</v>
      </c>
      <c r="O986" s="307">
        <v>1</v>
      </c>
    </row>
    <row r="987" spans="1:15" ht="12.75">
      <c r="A987" s="269">
        <v>85</v>
      </c>
      <c r="B987" s="123">
        <v>3184</v>
      </c>
      <c r="C987" s="124">
        <v>1</v>
      </c>
      <c r="D987" s="123">
        <v>52</v>
      </c>
      <c r="E987" s="147">
        <v>3.137</v>
      </c>
      <c r="F987" s="161">
        <v>0</v>
      </c>
      <c r="G987" s="145">
        <v>1</v>
      </c>
      <c r="H987" s="161">
        <v>0</v>
      </c>
      <c r="I987" s="145">
        <v>0</v>
      </c>
      <c r="J987" s="123">
        <v>0</v>
      </c>
      <c r="K987" s="124">
        <v>1</v>
      </c>
      <c r="L987" s="123">
        <v>0</v>
      </c>
      <c r="M987" s="124">
        <v>0</v>
      </c>
      <c r="N987" s="123">
        <v>0</v>
      </c>
      <c r="O987" s="307">
        <v>1</v>
      </c>
    </row>
    <row r="988" spans="1:15" ht="12.75">
      <c r="A988" s="269">
        <v>89</v>
      </c>
      <c r="B988" s="123">
        <v>3143</v>
      </c>
      <c r="C988" s="124">
        <v>1</v>
      </c>
      <c r="D988" s="123">
        <v>54</v>
      </c>
      <c r="E988" s="147">
        <v>3.259</v>
      </c>
      <c r="F988" s="161">
        <v>0</v>
      </c>
      <c r="G988" s="145">
        <v>1</v>
      </c>
      <c r="H988" s="161">
        <v>0</v>
      </c>
      <c r="I988" s="145">
        <v>0</v>
      </c>
      <c r="J988" s="123">
        <v>0</v>
      </c>
      <c r="K988" s="124">
        <v>1</v>
      </c>
      <c r="L988" s="123">
        <v>0</v>
      </c>
      <c r="M988" s="124">
        <v>0</v>
      </c>
      <c r="N988" s="123">
        <v>1</v>
      </c>
      <c r="O988" s="307">
        <v>0</v>
      </c>
    </row>
    <row r="989" spans="1:15" ht="12.75">
      <c r="A989" s="269">
        <v>90</v>
      </c>
      <c r="B989" s="123">
        <v>2884</v>
      </c>
      <c r="C989" s="124">
        <v>0</v>
      </c>
      <c r="D989" s="123">
        <v>53</v>
      </c>
      <c r="E989" s="147">
        <v>3.219</v>
      </c>
      <c r="F989" s="161">
        <v>0</v>
      </c>
      <c r="G989" s="145">
        <v>1</v>
      </c>
      <c r="H989" s="161">
        <v>0</v>
      </c>
      <c r="I989" s="145">
        <v>0</v>
      </c>
      <c r="J989" s="123">
        <v>0</v>
      </c>
      <c r="K989" s="124">
        <v>1</v>
      </c>
      <c r="L989" s="123">
        <v>0</v>
      </c>
      <c r="M989" s="124">
        <v>0</v>
      </c>
      <c r="N989" s="123">
        <v>1</v>
      </c>
      <c r="O989" s="307">
        <v>0</v>
      </c>
    </row>
    <row r="990" spans="1:15" ht="12.75">
      <c r="A990" s="269">
        <v>91</v>
      </c>
      <c r="B990" s="123">
        <v>3369</v>
      </c>
      <c r="C990" s="124">
        <v>1</v>
      </c>
      <c r="D990" s="123">
        <v>54</v>
      </c>
      <c r="E990" s="147">
        <v>3.346</v>
      </c>
      <c r="F990" s="161">
        <v>0</v>
      </c>
      <c r="G990" s="145">
        <v>1</v>
      </c>
      <c r="H990" s="161">
        <v>0</v>
      </c>
      <c r="I990" s="145">
        <v>0</v>
      </c>
      <c r="J990" s="123">
        <v>0</v>
      </c>
      <c r="K990" s="124">
        <v>1</v>
      </c>
      <c r="L990" s="123">
        <v>0</v>
      </c>
      <c r="M990" s="124">
        <v>0</v>
      </c>
      <c r="N990" s="123">
        <v>0</v>
      </c>
      <c r="O990" s="307">
        <v>1</v>
      </c>
    </row>
    <row r="991" spans="1:15" ht="12.75">
      <c r="A991" s="269">
        <v>92</v>
      </c>
      <c r="B991" s="123">
        <v>1230</v>
      </c>
      <c r="C991" s="124">
        <v>0</v>
      </c>
      <c r="D991" s="123">
        <v>52</v>
      </c>
      <c r="E991" s="147">
        <v>3.342</v>
      </c>
      <c r="F991" s="161">
        <v>0</v>
      </c>
      <c r="G991" s="145">
        <v>1</v>
      </c>
      <c r="H991" s="161">
        <v>0</v>
      </c>
      <c r="I991" s="145">
        <v>0</v>
      </c>
      <c r="J991" s="123">
        <v>0</v>
      </c>
      <c r="K991" s="124">
        <v>1</v>
      </c>
      <c r="L991" s="123">
        <v>0</v>
      </c>
      <c r="M991" s="124">
        <v>1</v>
      </c>
      <c r="N991" s="123">
        <v>0</v>
      </c>
      <c r="O991" s="307">
        <v>0</v>
      </c>
    </row>
    <row r="992" spans="1:15" ht="12.75">
      <c r="A992" s="269">
        <v>102</v>
      </c>
      <c r="B992" s="123">
        <v>4526</v>
      </c>
      <c r="C992" s="124">
        <v>0</v>
      </c>
      <c r="D992" s="123">
        <v>51</v>
      </c>
      <c r="E992" s="147">
        <v>3.182</v>
      </c>
      <c r="F992" s="161">
        <v>0</v>
      </c>
      <c r="G992" s="145">
        <v>1</v>
      </c>
      <c r="H992" s="161">
        <v>0</v>
      </c>
      <c r="I992" s="145">
        <v>0</v>
      </c>
      <c r="J992" s="123">
        <v>0</v>
      </c>
      <c r="K992" s="124">
        <v>1</v>
      </c>
      <c r="L992" s="123">
        <v>0</v>
      </c>
      <c r="M992" s="124">
        <v>1</v>
      </c>
      <c r="N992" s="123">
        <v>0</v>
      </c>
      <c r="O992" s="307">
        <v>0</v>
      </c>
    </row>
    <row r="993" spans="1:15" ht="12.75">
      <c r="A993" s="269">
        <v>111</v>
      </c>
      <c r="B993" s="123">
        <v>811</v>
      </c>
      <c r="C993" s="124">
        <v>1</v>
      </c>
      <c r="D993" s="123">
        <v>50</v>
      </c>
      <c r="E993" s="147">
        <v>3.432</v>
      </c>
      <c r="F993" s="161">
        <v>0</v>
      </c>
      <c r="G993" s="145">
        <v>1</v>
      </c>
      <c r="H993" s="161">
        <v>0</v>
      </c>
      <c r="I993" s="145">
        <v>0</v>
      </c>
      <c r="J993" s="123">
        <v>0</v>
      </c>
      <c r="K993" s="124">
        <v>1</v>
      </c>
      <c r="L993" s="123">
        <v>0</v>
      </c>
      <c r="M993" s="124">
        <v>1</v>
      </c>
      <c r="N993" s="123">
        <v>0</v>
      </c>
      <c r="O993" s="307">
        <v>0</v>
      </c>
    </row>
    <row r="994" spans="1:15" ht="12.75">
      <c r="A994" s="269">
        <v>113</v>
      </c>
      <c r="B994" s="123">
        <v>1695</v>
      </c>
      <c r="C994" s="124">
        <v>1</v>
      </c>
      <c r="D994" s="123">
        <v>55</v>
      </c>
      <c r="E994" s="147">
        <v>3.071</v>
      </c>
      <c r="F994" s="161">
        <v>0</v>
      </c>
      <c r="G994" s="145">
        <v>1</v>
      </c>
      <c r="H994" s="161">
        <v>0</v>
      </c>
      <c r="I994" s="145">
        <v>0</v>
      </c>
      <c r="J994" s="123">
        <v>0</v>
      </c>
      <c r="K994" s="124">
        <v>1</v>
      </c>
      <c r="L994" s="123">
        <v>0</v>
      </c>
      <c r="M994" s="124">
        <v>1</v>
      </c>
      <c r="N994" s="123">
        <v>0</v>
      </c>
      <c r="O994" s="307">
        <v>0</v>
      </c>
    </row>
    <row r="995" spans="1:15" ht="12.75">
      <c r="A995" s="269">
        <v>115</v>
      </c>
      <c r="B995" s="123">
        <v>4256</v>
      </c>
      <c r="C995" s="124">
        <v>1</v>
      </c>
      <c r="D995" s="123">
        <v>52</v>
      </c>
      <c r="E995" s="147">
        <v>3.234</v>
      </c>
      <c r="F995" s="161">
        <v>0</v>
      </c>
      <c r="G995" s="145">
        <v>1</v>
      </c>
      <c r="H995" s="161">
        <v>0</v>
      </c>
      <c r="I995" s="145">
        <v>0</v>
      </c>
      <c r="J995" s="123">
        <v>0</v>
      </c>
      <c r="K995" s="124">
        <v>1</v>
      </c>
      <c r="L995" s="123">
        <v>0</v>
      </c>
      <c r="M995" s="124">
        <v>0</v>
      </c>
      <c r="N995" s="123">
        <v>1</v>
      </c>
      <c r="O995" s="307">
        <v>0</v>
      </c>
    </row>
    <row r="996" spans="1:15" ht="12.75">
      <c r="A996" s="269">
        <v>120</v>
      </c>
      <c r="B996" s="123">
        <v>2111</v>
      </c>
      <c r="C996" s="124">
        <v>1</v>
      </c>
      <c r="D996" s="123">
        <v>52</v>
      </c>
      <c r="E996" s="147">
        <v>3.334</v>
      </c>
      <c r="F996" s="161">
        <v>0</v>
      </c>
      <c r="G996" s="145">
        <v>1</v>
      </c>
      <c r="H996" s="161">
        <v>0</v>
      </c>
      <c r="I996" s="145">
        <v>0</v>
      </c>
      <c r="J996" s="123">
        <v>0</v>
      </c>
      <c r="K996" s="124">
        <v>1</v>
      </c>
      <c r="L996" s="123">
        <v>0</v>
      </c>
      <c r="M996" s="124">
        <v>0</v>
      </c>
      <c r="N996" s="123">
        <v>1</v>
      </c>
      <c r="O996" s="307">
        <v>0</v>
      </c>
    </row>
    <row r="997" spans="1:15" ht="12.75">
      <c r="A997" s="269">
        <v>124</v>
      </c>
      <c r="B997" s="123">
        <v>2081</v>
      </c>
      <c r="C997" s="124">
        <v>0</v>
      </c>
      <c r="D997" s="123">
        <v>53</v>
      </c>
      <c r="E997" s="147">
        <v>3.17</v>
      </c>
      <c r="F997" s="161">
        <v>0</v>
      </c>
      <c r="G997" s="145">
        <v>1</v>
      </c>
      <c r="H997" s="161">
        <v>0</v>
      </c>
      <c r="I997" s="145">
        <v>0</v>
      </c>
      <c r="J997" s="123">
        <v>0</v>
      </c>
      <c r="K997" s="124">
        <v>1</v>
      </c>
      <c r="L997" s="123">
        <v>0</v>
      </c>
      <c r="M997" s="124">
        <v>0</v>
      </c>
      <c r="N997" s="123">
        <v>0</v>
      </c>
      <c r="O997" s="307">
        <v>1</v>
      </c>
    </row>
    <row r="998" spans="1:15" ht="12.75">
      <c r="A998" s="269">
        <v>127</v>
      </c>
      <c r="B998" s="123">
        <v>2708</v>
      </c>
      <c r="C998" s="124">
        <v>1</v>
      </c>
      <c r="D998" s="123">
        <v>55</v>
      </c>
      <c r="E998" s="147">
        <v>3.089</v>
      </c>
      <c r="F998" s="161">
        <v>0</v>
      </c>
      <c r="G998" s="145">
        <v>1</v>
      </c>
      <c r="H998" s="161">
        <v>0</v>
      </c>
      <c r="I998" s="145">
        <v>0</v>
      </c>
      <c r="J998" s="123">
        <v>0</v>
      </c>
      <c r="K998" s="124">
        <v>1</v>
      </c>
      <c r="L998" s="123">
        <v>0</v>
      </c>
      <c r="M998" s="124">
        <v>0</v>
      </c>
      <c r="N998" s="123">
        <v>1</v>
      </c>
      <c r="O998" s="307">
        <v>0</v>
      </c>
    </row>
    <row r="999" spans="1:15" ht="12.75">
      <c r="A999" s="269">
        <v>128</v>
      </c>
      <c r="B999" s="123">
        <v>711</v>
      </c>
      <c r="C999" s="124">
        <v>1</v>
      </c>
      <c r="D999" s="123">
        <v>50</v>
      </c>
      <c r="E999" s="147">
        <v>3.459</v>
      </c>
      <c r="F999" s="161">
        <v>0</v>
      </c>
      <c r="G999" s="145">
        <v>1</v>
      </c>
      <c r="H999" s="161">
        <v>0</v>
      </c>
      <c r="I999" s="145">
        <v>0</v>
      </c>
      <c r="J999" s="123">
        <v>0</v>
      </c>
      <c r="K999" s="124">
        <v>1</v>
      </c>
      <c r="L999" s="123">
        <v>0</v>
      </c>
      <c r="M999" s="124">
        <v>1</v>
      </c>
      <c r="N999" s="123">
        <v>0</v>
      </c>
      <c r="O999" s="307">
        <v>0</v>
      </c>
    </row>
    <row r="1000" spans="1:15" ht="12.75">
      <c r="A1000" s="269">
        <v>129</v>
      </c>
      <c r="B1000" s="123">
        <v>3332</v>
      </c>
      <c r="C1000" s="124">
        <v>0</v>
      </c>
      <c r="D1000" s="123">
        <v>55</v>
      </c>
      <c r="E1000" s="147">
        <v>3.472</v>
      </c>
      <c r="F1000" s="161">
        <v>0</v>
      </c>
      <c r="G1000" s="145">
        <v>1</v>
      </c>
      <c r="H1000" s="161">
        <v>0</v>
      </c>
      <c r="I1000" s="145">
        <v>0</v>
      </c>
      <c r="J1000" s="123">
        <v>0</v>
      </c>
      <c r="K1000" s="124">
        <v>1</v>
      </c>
      <c r="L1000" s="123">
        <v>0</v>
      </c>
      <c r="M1000" s="124">
        <v>0</v>
      </c>
      <c r="N1000" s="123">
        <v>1</v>
      </c>
      <c r="O1000" s="307">
        <v>0</v>
      </c>
    </row>
    <row r="1001" spans="1:15" ht="12.75">
      <c r="A1001" s="269">
        <v>131</v>
      </c>
      <c r="B1001" s="123">
        <v>3001</v>
      </c>
      <c r="C1001" s="124">
        <v>1</v>
      </c>
      <c r="D1001" s="123">
        <v>53</v>
      </c>
      <c r="E1001" s="147">
        <v>2.177</v>
      </c>
      <c r="F1001" s="161">
        <v>0</v>
      </c>
      <c r="G1001" s="145">
        <v>1</v>
      </c>
      <c r="H1001" s="161">
        <v>0</v>
      </c>
      <c r="I1001" s="145">
        <v>0</v>
      </c>
      <c r="J1001" s="123">
        <v>0</v>
      </c>
      <c r="K1001" s="124">
        <v>1</v>
      </c>
      <c r="L1001" s="123">
        <v>0</v>
      </c>
      <c r="M1001" s="124">
        <v>1</v>
      </c>
      <c r="N1001" s="123">
        <v>0</v>
      </c>
      <c r="O1001" s="307">
        <v>0</v>
      </c>
    </row>
    <row r="1002" spans="1:15" ht="12.75">
      <c r="A1002" s="269">
        <v>138</v>
      </c>
      <c r="B1002" s="123">
        <v>4282</v>
      </c>
      <c r="C1002" s="124">
        <v>1</v>
      </c>
      <c r="D1002" s="123">
        <v>53</v>
      </c>
      <c r="E1002" s="147">
        <v>3.314</v>
      </c>
      <c r="F1002" s="161">
        <v>0</v>
      </c>
      <c r="G1002" s="145">
        <v>1</v>
      </c>
      <c r="H1002" s="161">
        <v>0</v>
      </c>
      <c r="I1002" s="145">
        <v>0</v>
      </c>
      <c r="J1002" s="123">
        <v>0</v>
      </c>
      <c r="K1002" s="124">
        <v>1</v>
      </c>
      <c r="L1002" s="123">
        <v>0</v>
      </c>
      <c r="M1002" s="124">
        <v>0</v>
      </c>
      <c r="N1002" s="123">
        <v>1</v>
      </c>
      <c r="O1002" s="307">
        <v>0</v>
      </c>
    </row>
    <row r="1003" spans="1:15" ht="12.75">
      <c r="A1003" s="269">
        <v>140</v>
      </c>
      <c r="B1003" s="123">
        <v>2050</v>
      </c>
      <c r="C1003" s="124">
        <v>1</v>
      </c>
      <c r="D1003" s="123">
        <v>52</v>
      </c>
      <c r="E1003" s="147">
        <v>3.323</v>
      </c>
      <c r="F1003" s="161">
        <v>0</v>
      </c>
      <c r="G1003" s="145">
        <v>1</v>
      </c>
      <c r="H1003" s="161">
        <v>0</v>
      </c>
      <c r="I1003" s="145">
        <v>0</v>
      </c>
      <c r="J1003" s="123">
        <v>0</v>
      </c>
      <c r="K1003" s="124">
        <v>1</v>
      </c>
      <c r="L1003" s="123">
        <v>0</v>
      </c>
      <c r="M1003" s="124">
        <v>0</v>
      </c>
      <c r="N1003" s="123">
        <v>0</v>
      </c>
      <c r="O1003" s="307">
        <v>1</v>
      </c>
    </row>
    <row r="1004" spans="1:15" ht="12.75">
      <c r="A1004" s="269">
        <v>147</v>
      </c>
      <c r="B1004" s="123">
        <v>837</v>
      </c>
      <c r="C1004" s="124">
        <v>0</v>
      </c>
      <c r="D1004" s="123">
        <v>53</v>
      </c>
      <c r="E1004" s="147">
        <v>3.095</v>
      </c>
      <c r="F1004" s="161">
        <v>0</v>
      </c>
      <c r="G1004" s="145">
        <v>1</v>
      </c>
      <c r="H1004" s="161">
        <v>0</v>
      </c>
      <c r="I1004" s="145">
        <v>0</v>
      </c>
      <c r="J1004" s="123">
        <v>0</v>
      </c>
      <c r="K1004" s="124">
        <v>1</v>
      </c>
      <c r="L1004" s="123">
        <v>0</v>
      </c>
      <c r="M1004" s="124">
        <v>1</v>
      </c>
      <c r="N1004" s="123">
        <v>0</v>
      </c>
      <c r="O1004" s="307">
        <v>0</v>
      </c>
    </row>
    <row r="1005" spans="1:15" ht="12.75">
      <c r="A1005" s="269">
        <v>149</v>
      </c>
      <c r="B1005" s="123">
        <v>591</v>
      </c>
      <c r="C1005" s="124">
        <v>1</v>
      </c>
      <c r="D1005" s="123">
        <v>52</v>
      </c>
      <c r="E1005" s="147">
        <v>3.344</v>
      </c>
      <c r="F1005" s="161">
        <v>0</v>
      </c>
      <c r="G1005" s="145">
        <v>1</v>
      </c>
      <c r="H1005" s="161">
        <v>0</v>
      </c>
      <c r="I1005" s="145">
        <v>0</v>
      </c>
      <c r="J1005" s="123">
        <v>0</v>
      </c>
      <c r="K1005" s="124">
        <v>1</v>
      </c>
      <c r="L1005" s="123">
        <v>0</v>
      </c>
      <c r="M1005" s="124">
        <v>1</v>
      </c>
      <c r="N1005" s="123">
        <v>0</v>
      </c>
      <c r="O1005" s="307">
        <v>0</v>
      </c>
    </row>
    <row r="1006" spans="1:15" ht="12.75">
      <c r="A1006" s="269">
        <v>152</v>
      </c>
      <c r="B1006" s="123">
        <v>4320</v>
      </c>
      <c r="C1006" s="124">
        <v>0</v>
      </c>
      <c r="D1006" s="123">
        <v>52</v>
      </c>
      <c r="E1006" s="147">
        <v>3.507</v>
      </c>
      <c r="F1006" s="161">
        <v>0</v>
      </c>
      <c r="G1006" s="145">
        <v>1</v>
      </c>
      <c r="H1006" s="161">
        <v>0</v>
      </c>
      <c r="I1006" s="145">
        <v>0</v>
      </c>
      <c r="J1006" s="123">
        <v>0</v>
      </c>
      <c r="K1006" s="124">
        <v>1</v>
      </c>
      <c r="L1006" s="123">
        <v>0</v>
      </c>
      <c r="M1006" s="124">
        <v>0</v>
      </c>
      <c r="N1006" s="123">
        <v>0</v>
      </c>
      <c r="O1006" s="307">
        <v>1</v>
      </c>
    </row>
    <row r="1007" spans="1:15" ht="12.75">
      <c r="A1007" s="269">
        <v>157</v>
      </c>
      <c r="B1007" s="123">
        <v>3564</v>
      </c>
      <c r="C1007" s="124">
        <v>0</v>
      </c>
      <c r="D1007" s="123">
        <v>54</v>
      </c>
      <c r="E1007" s="147">
        <v>3.39</v>
      </c>
      <c r="F1007" s="161">
        <v>0</v>
      </c>
      <c r="G1007" s="145">
        <v>1</v>
      </c>
      <c r="H1007" s="161">
        <v>0</v>
      </c>
      <c r="I1007" s="145">
        <v>0</v>
      </c>
      <c r="J1007" s="123">
        <v>0</v>
      </c>
      <c r="K1007" s="124">
        <v>1</v>
      </c>
      <c r="L1007" s="123">
        <v>0</v>
      </c>
      <c r="M1007" s="124">
        <v>1</v>
      </c>
      <c r="N1007" s="123">
        <v>0</v>
      </c>
      <c r="O1007" s="307">
        <v>0</v>
      </c>
    </row>
    <row r="1008" spans="1:15" ht="12.75">
      <c r="A1008" s="269">
        <v>168</v>
      </c>
      <c r="B1008" s="123">
        <v>4082</v>
      </c>
      <c r="C1008" s="124">
        <v>0</v>
      </c>
      <c r="D1008" s="123">
        <v>52</v>
      </c>
      <c r="E1008" s="147">
        <v>3.366</v>
      </c>
      <c r="F1008" s="161">
        <v>0</v>
      </c>
      <c r="G1008" s="145">
        <v>1</v>
      </c>
      <c r="H1008" s="161">
        <v>0</v>
      </c>
      <c r="I1008" s="145">
        <v>0</v>
      </c>
      <c r="J1008" s="123">
        <v>0</v>
      </c>
      <c r="K1008" s="124">
        <v>1</v>
      </c>
      <c r="L1008" s="123">
        <v>0</v>
      </c>
      <c r="M1008" s="124">
        <v>1</v>
      </c>
      <c r="N1008" s="123">
        <v>0</v>
      </c>
      <c r="O1008" s="307">
        <v>0</v>
      </c>
    </row>
    <row r="1009" spans="1:15" ht="12.75">
      <c r="A1009" s="269">
        <v>185</v>
      </c>
      <c r="B1009" s="123">
        <v>1018</v>
      </c>
      <c r="C1009" s="124">
        <v>0</v>
      </c>
      <c r="D1009" s="123">
        <v>53</v>
      </c>
      <c r="E1009" s="147">
        <v>3.334</v>
      </c>
      <c r="F1009" s="161">
        <v>0</v>
      </c>
      <c r="G1009" s="145">
        <v>1</v>
      </c>
      <c r="H1009" s="161">
        <v>0</v>
      </c>
      <c r="I1009" s="145">
        <v>0</v>
      </c>
      <c r="J1009" s="123">
        <v>0</v>
      </c>
      <c r="K1009" s="124">
        <v>1</v>
      </c>
      <c r="L1009" s="123">
        <v>0</v>
      </c>
      <c r="M1009" s="124">
        <v>1</v>
      </c>
      <c r="N1009" s="123">
        <v>0</v>
      </c>
      <c r="O1009" s="307">
        <v>0</v>
      </c>
    </row>
    <row r="1010" spans="1:15" ht="12.75">
      <c r="A1010" s="269">
        <v>186</v>
      </c>
      <c r="B1010" s="123">
        <v>4420</v>
      </c>
      <c r="C1010" s="124">
        <v>0</v>
      </c>
      <c r="D1010" s="123">
        <v>52</v>
      </c>
      <c r="E1010" s="147">
        <v>3.359</v>
      </c>
      <c r="F1010" s="161">
        <v>0</v>
      </c>
      <c r="G1010" s="145">
        <v>1</v>
      </c>
      <c r="H1010" s="161">
        <v>0</v>
      </c>
      <c r="I1010" s="145">
        <v>0</v>
      </c>
      <c r="J1010" s="123">
        <v>0</v>
      </c>
      <c r="K1010" s="124">
        <v>1</v>
      </c>
      <c r="L1010" s="123">
        <v>0</v>
      </c>
      <c r="M1010" s="124">
        <v>0</v>
      </c>
      <c r="N1010" s="123">
        <v>0</v>
      </c>
      <c r="O1010" s="307">
        <v>1</v>
      </c>
    </row>
    <row r="1011" spans="1:15" ht="12.75">
      <c r="A1011" s="269">
        <v>187</v>
      </c>
      <c r="B1011" s="123">
        <v>2622</v>
      </c>
      <c r="C1011" s="124">
        <v>0</v>
      </c>
      <c r="D1011" s="123">
        <v>55</v>
      </c>
      <c r="E1011" s="147">
        <v>3.356</v>
      </c>
      <c r="F1011" s="161">
        <v>0</v>
      </c>
      <c r="G1011" s="145">
        <v>1</v>
      </c>
      <c r="H1011" s="161">
        <v>0</v>
      </c>
      <c r="I1011" s="145">
        <v>0</v>
      </c>
      <c r="J1011" s="123">
        <v>0</v>
      </c>
      <c r="K1011" s="124">
        <v>1</v>
      </c>
      <c r="L1011" s="123">
        <v>0</v>
      </c>
      <c r="M1011" s="124">
        <v>0</v>
      </c>
      <c r="N1011" s="123">
        <v>0</v>
      </c>
      <c r="O1011" s="307">
        <v>1</v>
      </c>
    </row>
    <row r="1012" spans="1:15" ht="12.75">
      <c r="A1012" s="269">
        <v>191</v>
      </c>
      <c r="B1012" s="123">
        <v>4025</v>
      </c>
      <c r="C1012" s="124">
        <v>0</v>
      </c>
      <c r="D1012" s="123">
        <v>53</v>
      </c>
      <c r="E1012" s="147">
        <v>3.192</v>
      </c>
      <c r="F1012" s="161">
        <v>0</v>
      </c>
      <c r="G1012" s="145">
        <v>1</v>
      </c>
      <c r="H1012" s="161">
        <v>0</v>
      </c>
      <c r="I1012" s="145">
        <v>0</v>
      </c>
      <c r="J1012" s="123">
        <v>0</v>
      </c>
      <c r="K1012" s="124">
        <v>1</v>
      </c>
      <c r="L1012" s="123">
        <v>0</v>
      </c>
      <c r="M1012" s="124">
        <v>0</v>
      </c>
      <c r="N1012" s="123">
        <v>0</v>
      </c>
      <c r="O1012" s="307">
        <v>1</v>
      </c>
    </row>
    <row r="1013" spans="1:15" ht="12.75">
      <c r="A1013" s="269">
        <v>192</v>
      </c>
      <c r="B1013" s="123">
        <v>4269</v>
      </c>
      <c r="C1013" s="124">
        <v>1</v>
      </c>
      <c r="D1013" s="123">
        <v>52</v>
      </c>
      <c r="E1013" s="147">
        <v>3.23</v>
      </c>
      <c r="F1013" s="161">
        <v>0</v>
      </c>
      <c r="G1013" s="145">
        <v>1</v>
      </c>
      <c r="H1013" s="161">
        <v>0</v>
      </c>
      <c r="I1013" s="145">
        <v>0</v>
      </c>
      <c r="J1013" s="123">
        <v>0</v>
      </c>
      <c r="K1013" s="124">
        <v>1</v>
      </c>
      <c r="L1013" s="123">
        <v>0</v>
      </c>
      <c r="M1013" s="124">
        <v>1</v>
      </c>
      <c r="N1013" s="123">
        <v>0</v>
      </c>
      <c r="O1013" s="307">
        <v>0</v>
      </c>
    </row>
    <row r="1014" spans="1:15" ht="12.75">
      <c r="A1014" s="269">
        <v>195</v>
      </c>
      <c r="B1014" s="123">
        <v>201</v>
      </c>
      <c r="C1014" s="124">
        <v>0</v>
      </c>
      <c r="D1014" s="123">
        <v>52</v>
      </c>
      <c r="E1014" s="147">
        <v>3.764</v>
      </c>
      <c r="F1014" s="161">
        <v>0</v>
      </c>
      <c r="G1014" s="145">
        <v>1</v>
      </c>
      <c r="H1014" s="161">
        <v>0</v>
      </c>
      <c r="I1014" s="145">
        <v>0</v>
      </c>
      <c r="J1014" s="123">
        <v>0</v>
      </c>
      <c r="K1014" s="124">
        <v>1</v>
      </c>
      <c r="L1014" s="123">
        <v>0</v>
      </c>
      <c r="M1014" s="124">
        <v>0</v>
      </c>
      <c r="N1014" s="123">
        <v>0</v>
      </c>
      <c r="O1014" s="307">
        <v>1</v>
      </c>
    </row>
    <row r="1015" spans="1:15" ht="12.75">
      <c r="A1015" s="269">
        <v>196</v>
      </c>
      <c r="B1015" s="123">
        <v>1991</v>
      </c>
      <c r="C1015" s="124">
        <v>0</v>
      </c>
      <c r="D1015" s="123">
        <v>53</v>
      </c>
      <c r="E1015" s="147">
        <v>3.309</v>
      </c>
      <c r="F1015" s="161">
        <v>0</v>
      </c>
      <c r="G1015" s="145">
        <v>1</v>
      </c>
      <c r="H1015" s="161">
        <v>0</v>
      </c>
      <c r="I1015" s="145">
        <v>0</v>
      </c>
      <c r="J1015" s="123">
        <v>0</v>
      </c>
      <c r="K1015" s="124">
        <v>1</v>
      </c>
      <c r="L1015" s="123">
        <v>0</v>
      </c>
      <c r="M1015" s="124">
        <v>0</v>
      </c>
      <c r="N1015" s="123">
        <v>1</v>
      </c>
      <c r="O1015" s="307">
        <v>0</v>
      </c>
    </row>
    <row r="1016" spans="1:15" ht="12.75">
      <c r="A1016" s="269">
        <v>198</v>
      </c>
      <c r="B1016" s="123">
        <v>3215</v>
      </c>
      <c r="C1016" s="124">
        <v>0</v>
      </c>
      <c r="D1016" s="123">
        <v>53</v>
      </c>
      <c r="E1016" s="147">
        <v>3.152</v>
      </c>
      <c r="F1016" s="161">
        <v>0</v>
      </c>
      <c r="G1016" s="145">
        <v>1</v>
      </c>
      <c r="H1016" s="161">
        <v>0</v>
      </c>
      <c r="I1016" s="145">
        <v>0</v>
      </c>
      <c r="J1016" s="123">
        <v>0</v>
      </c>
      <c r="K1016" s="124">
        <v>1</v>
      </c>
      <c r="L1016" s="123">
        <v>0</v>
      </c>
      <c r="M1016" s="124">
        <v>1</v>
      </c>
      <c r="N1016" s="123">
        <v>0</v>
      </c>
      <c r="O1016" s="307">
        <v>0</v>
      </c>
    </row>
    <row r="1017" spans="1:15" ht="12.75">
      <c r="A1017" s="269">
        <v>206</v>
      </c>
      <c r="B1017" s="123">
        <v>2918</v>
      </c>
      <c r="C1017" s="124">
        <v>1</v>
      </c>
      <c r="D1017" s="123">
        <v>52</v>
      </c>
      <c r="E1017" s="147">
        <v>3.338</v>
      </c>
      <c r="F1017" s="161">
        <v>0</v>
      </c>
      <c r="G1017" s="145">
        <v>1</v>
      </c>
      <c r="H1017" s="161">
        <v>0</v>
      </c>
      <c r="I1017" s="145">
        <v>0</v>
      </c>
      <c r="J1017" s="123">
        <v>0</v>
      </c>
      <c r="K1017" s="124">
        <v>1</v>
      </c>
      <c r="L1017" s="123">
        <v>0</v>
      </c>
      <c r="M1017" s="124">
        <v>0</v>
      </c>
      <c r="N1017" s="123">
        <v>1</v>
      </c>
      <c r="O1017" s="307">
        <v>0</v>
      </c>
    </row>
    <row r="1018" spans="1:15" ht="12.75">
      <c r="A1018" s="269">
        <v>212</v>
      </c>
      <c r="B1018" s="123">
        <v>810</v>
      </c>
      <c r="C1018" s="124">
        <v>1</v>
      </c>
      <c r="D1018" s="123">
        <v>54</v>
      </c>
      <c r="E1018" s="147">
        <v>3.329</v>
      </c>
      <c r="F1018" s="161">
        <v>0</v>
      </c>
      <c r="G1018" s="145">
        <v>1</v>
      </c>
      <c r="H1018" s="161">
        <v>0</v>
      </c>
      <c r="I1018" s="145">
        <v>0</v>
      </c>
      <c r="J1018" s="123">
        <v>0</v>
      </c>
      <c r="K1018" s="124">
        <v>1</v>
      </c>
      <c r="L1018" s="123">
        <v>0</v>
      </c>
      <c r="M1018" s="124">
        <v>0</v>
      </c>
      <c r="N1018" s="123">
        <v>1</v>
      </c>
      <c r="O1018" s="307">
        <v>0</v>
      </c>
    </row>
    <row r="1019" spans="1:15" ht="12.75">
      <c r="A1019" s="269">
        <v>213</v>
      </c>
      <c r="B1019" s="123">
        <v>450</v>
      </c>
      <c r="C1019" s="124">
        <v>1</v>
      </c>
      <c r="D1019" s="123">
        <v>52</v>
      </c>
      <c r="E1019" s="147">
        <v>3.399</v>
      </c>
      <c r="F1019" s="161">
        <v>0</v>
      </c>
      <c r="G1019" s="145">
        <v>1</v>
      </c>
      <c r="H1019" s="161">
        <v>0</v>
      </c>
      <c r="I1019" s="145">
        <v>0</v>
      </c>
      <c r="J1019" s="123">
        <v>0</v>
      </c>
      <c r="K1019" s="124">
        <v>1</v>
      </c>
      <c r="L1019" s="123">
        <v>0</v>
      </c>
      <c r="M1019" s="124">
        <v>0</v>
      </c>
      <c r="N1019" s="123">
        <v>1</v>
      </c>
      <c r="O1019" s="307">
        <v>0</v>
      </c>
    </row>
    <row r="1020" spans="1:15" ht="12.75">
      <c r="A1020" s="269">
        <v>220</v>
      </c>
      <c r="B1020" s="123">
        <v>1291</v>
      </c>
      <c r="C1020" s="124">
        <v>1</v>
      </c>
      <c r="D1020" s="123">
        <v>54</v>
      </c>
      <c r="E1020" s="147">
        <v>3.221</v>
      </c>
      <c r="F1020" s="161">
        <v>0</v>
      </c>
      <c r="G1020" s="145">
        <v>1</v>
      </c>
      <c r="H1020" s="161">
        <v>0</v>
      </c>
      <c r="I1020" s="145">
        <v>0</v>
      </c>
      <c r="J1020" s="123">
        <v>0</v>
      </c>
      <c r="K1020" s="124">
        <v>1</v>
      </c>
      <c r="L1020" s="123">
        <v>0</v>
      </c>
      <c r="M1020" s="124">
        <v>0</v>
      </c>
      <c r="N1020" s="123">
        <v>0</v>
      </c>
      <c r="O1020" s="307">
        <v>1</v>
      </c>
    </row>
    <row r="1021" spans="1:15" ht="12.75">
      <c r="A1021" s="269">
        <v>230</v>
      </c>
      <c r="B1021" s="123">
        <v>2848</v>
      </c>
      <c r="C1021" s="124">
        <v>0</v>
      </c>
      <c r="D1021" s="123">
        <v>51</v>
      </c>
      <c r="E1021" s="147">
        <v>3.335</v>
      </c>
      <c r="F1021" s="161">
        <v>0</v>
      </c>
      <c r="G1021" s="145">
        <v>1</v>
      </c>
      <c r="H1021" s="161">
        <v>0</v>
      </c>
      <c r="I1021" s="145">
        <v>0</v>
      </c>
      <c r="J1021" s="123">
        <v>0</v>
      </c>
      <c r="K1021" s="124">
        <v>1</v>
      </c>
      <c r="L1021" s="123">
        <v>0</v>
      </c>
      <c r="M1021" s="124">
        <v>1</v>
      </c>
      <c r="N1021" s="123">
        <v>0</v>
      </c>
      <c r="O1021" s="307">
        <v>0</v>
      </c>
    </row>
    <row r="1022" spans="1:15" ht="12.75">
      <c r="A1022" s="269">
        <v>241</v>
      </c>
      <c r="B1022" s="123">
        <v>4196</v>
      </c>
      <c r="C1022" s="124">
        <v>0</v>
      </c>
      <c r="D1022" s="123">
        <v>54</v>
      </c>
      <c r="E1022" s="147">
        <v>3.007</v>
      </c>
      <c r="F1022" s="161">
        <v>0</v>
      </c>
      <c r="G1022" s="145">
        <v>1</v>
      </c>
      <c r="H1022" s="161">
        <v>0</v>
      </c>
      <c r="I1022" s="145">
        <v>0</v>
      </c>
      <c r="J1022" s="123">
        <v>0</v>
      </c>
      <c r="K1022" s="124">
        <v>1</v>
      </c>
      <c r="L1022" s="123">
        <v>0</v>
      </c>
      <c r="M1022" s="124">
        <v>0</v>
      </c>
      <c r="N1022" s="123">
        <v>1</v>
      </c>
      <c r="O1022" s="307">
        <v>0</v>
      </c>
    </row>
    <row r="1023" spans="1:15" ht="12.75">
      <c r="A1023" s="269">
        <v>245</v>
      </c>
      <c r="B1023" s="123">
        <v>3111</v>
      </c>
      <c r="C1023" s="124">
        <v>0</v>
      </c>
      <c r="D1023" s="123">
        <v>51</v>
      </c>
      <c r="E1023" s="147">
        <v>3.344</v>
      </c>
      <c r="F1023" s="161">
        <v>0</v>
      </c>
      <c r="G1023" s="145">
        <v>1</v>
      </c>
      <c r="H1023" s="161">
        <v>0</v>
      </c>
      <c r="I1023" s="145">
        <v>0</v>
      </c>
      <c r="J1023" s="123">
        <v>0</v>
      </c>
      <c r="K1023" s="124">
        <v>1</v>
      </c>
      <c r="L1023" s="123">
        <v>0</v>
      </c>
      <c r="M1023" s="124">
        <v>0</v>
      </c>
      <c r="N1023" s="123">
        <v>1</v>
      </c>
      <c r="O1023" s="307">
        <v>0</v>
      </c>
    </row>
    <row r="1024" spans="1:15" ht="12.75">
      <c r="A1024" s="269">
        <v>250</v>
      </c>
      <c r="B1024" s="123">
        <v>2181</v>
      </c>
      <c r="C1024" s="124">
        <v>1</v>
      </c>
      <c r="D1024" s="123">
        <v>54</v>
      </c>
      <c r="E1024" s="147">
        <v>3.134</v>
      </c>
      <c r="F1024" s="161">
        <v>0</v>
      </c>
      <c r="G1024" s="145">
        <v>1</v>
      </c>
      <c r="H1024" s="161">
        <v>0</v>
      </c>
      <c r="I1024" s="145">
        <v>0</v>
      </c>
      <c r="J1024" s="123">
        <v>0</v>
      </c>
      <c r="K1024" s="124">
        <v>1</v>
      </c>
      <c r="L1024" s="123">
        <v>0</v>
      </c>
      <c r="M1024" s="124">
        <v>0</v>
      </c>
      <c r="N1024" s="123">
        <v>1</v>
      </c>
      <c r="O1024" s="307">
        <v>0</v>
      </c>
    </row>
    <row r="1025" spans="1:15" ht="12.75">
      <c r="A1025" s="269">
        <v>253</v>
      </c>
      <c r="B1025" s="123">
        <v>3963</v>
      </c>
      <c r="C1025" s="124">
        <v>0</v>
      </c>
      <c r="D1025" s="123">
        <v>55</v>
      </c>
      <c r="E1025" s="147">
        <v>3.222</v>
      </c>
      <c r="F1025" s="161">
        <v>0</v>
      </c>
      <c r="G1025" s="145">
        <v>1</v>
      </c>
      <c r="H1025" s="161">
        <v>0</v>
      </c>
      <c r="I1025" s="145">
        <v>0</v>
      </c>
      <c r="J1025" s="123">
        <v>0</v>
      </c>
      <c r="K1025" s="124">
        <v>1</v>
      </c>
      <c r="L1025" s="123">
        <v>0</v>
      </c>
      <c r="M1025" s="124">
        <v>0</v>
      </c>
      <c r="N1025" s="123">
        <v>1</v>
      </c>
      <c r="O1025" s="307">
        <v>0</v>
      </c>
    </row>
    <row r="1026" spans="1:15" ht="12.75">
      <c r="A1026" s="269">
        <v>257</v>
      </c>
      <c r="B1026" s="123">
        <v>3989</v>
      </c>
      <c r="C1026" s="124">
        <v>1</v>
      </c>
      <c r="D1026" s="123">
        <v>50</v>
      </c>
      <c r="E1026" s="147">
        <v>3.312</v>
      </c>
      <c r="F1026" s="161">
        <v>0</v>
      </c>
      <c r="G1026" s="145">
        <v>1</v>
      </c>
      <c r="H1026" s="161">
        <v>0</v>
      </c>
      <c r="I1026" s="145">
        <v>0</v>
      </c>
      <c r="J1026" s="123">
        <v>0</v>
      </c>
      <c r="K1026" s="124">
        <v>1</v>
      </c>
      <c r="L1026" s="123">
        <v>0</v>
      </c>
      <c r="M1026" s="124">
        <v>0</v>
      </c>
      <c r="N1026" s="123">
        <v>1</v>
      </c>
      <c r="O1026" s="307">
        <v>0</v>
      </c>
    </row>
    <row r="1027" spans="1:15" ht="12.75">
      <c r="A1027" s="269">
        <v>264</v>
      </c>
      <c r="B1027" s="123">
        <v>4218</v>
      </c>
      <c r="C1027" s="124">
        <v>0</v>
      </c>
      <c r="D1027" s="123">
        <v>52</v>
      </c>
      <c r="E1027" s="147">
        <v>3.344</v>
      </c>
      <c r="F1027" s="161">
        <v>0</v>
      </c>
      <c r="G1027" s="145">
        <v>1</v>
      </c>
      <c r="H1027" s="161">
        <v>0</v>
      </c>
      <c r="I1027" s="145">
        <v>0</v>
      </c>
      <c r="J1027" s="123">
        <v>0</v>
      </c>
      <c r="K1027" s="124">
        <v>1</v>
      </c>
      <c r="L1027" s="123">
        <v>0</v>
      </c>
      <c r="M1027" s="124">
        <v>0</v>
      </c>
      <c r="N1027" s="123">
        <v>1</v>
      </c>
      <c r="O1027" s="307">
        <v>0</v>
      </c>
    </row>
    <row r="1028" spans="1:12" s="15" customFormat="1" ht="12.75">
      <c r="A1028" s="249"/>
      <c r="B1028" s="124"/>
      <c r="C1028" s="124"/>
      <c r="D1028" s="124"/>
      <c r="E1028" s="147"/>
      <c r="F1028" s="145"/>
      <c r="G1028" s="145"/>
      <c r="H1028" s="145"/>
      <c r="I1028" s="145"/>
      <c r="J1028" s="124"/>
      <c r="K1028" s="124">
        <f>SUM(K968:K1027)</f>
        <v>60</v>
      </c>
      <c r="L1028" s="124"/>
    </row>
    <row r="1029" spans="1:15" ht="12.75">
      <c r="A1029" s="269">
        <v>5</v>
      </c>
      <c r="B1029" s="123">
        <v>4572</v>
      </c>
      <c r="C1029" s="124">
        <v>1</v>
      </c>
      <c r="D1029" s="123">
        <v>54</v>
      </c>
      <c r="E1029" s="147">
        <v>3.098</v>
      </c>
      <c r="F1029" s="161">
        <v>0</v>
      </c>
      <c r="G1029" s="145">
        <v>1</v>
      </c>
      <c r="H1029" s="161">
        <v>0</v>
      </c>
      <c r="I1029" s="145">
        <v>0</v>
      </c>
      <c r="J1029" s="123">
        <v>0</v>
      </c>
      <c r="K1029" s="124">
        <v>0</v>
      </c>
      <c r="L1029" s="123">
        <v>1</v>
      </c>
      <c r="M1029" s="124">
        <v>0</v>
      </c>
      <c r="N1029" s="123">
        <v>0</v>
      </c>
      <c r="O1029" s="307">
        <v>1</v>
      </c>
    </row>
    <row r="1030" spans="1:15" ht="12.75">
      <c r="A1030" s="269">
        <v>12</v>
      </c>
      <c r="B1030" s="123">
        <v>3951</v>
      </c>
      <c r="C1030" s="124">
        <v>0</v>
      </c>
      <c r="D1030" s="123">
        <v>53</v>
      </c>
      <c r="E1030" s="147">
        <v>3.35</v>
      </c>
      <c r="F1030" s="161">
        <v>0</v>
      </c>
      <c r="G1030" s="145">
        <v>1</v>
      </c>
      <c r="H1030" s="161">
        <v>0</v>
      </c>
      <c r="I1030" s="145">
        <v>0</v>
      </c>
      <c r="J1030" s="123">
        <v>0</v>
      </c>
      <c r="K1030" s="124">
        <v>0</v>
      </c>
      <c r="L1030" s="123">
        <v>1</v>
      </c>
      <c r="M1030" s="124">
        <v>0</v>
      </c>
      <c r="N1030" s="123">
        <v>1</v>
      </c>
      <c r="O1030" s="307">
        <v>0</v>
      </c>
    </row>
    <row r="1031" spans="1:15" ht="12.75">
      <c r="A1031" s="269">
        <v>44</v>
      </c>
      <c r="B1031" s="123">
        <v>750</v>
      </c>
      <c r="C1031" s="124">
        <v>0</v>
      </c>
      <c r="D1031" s="123">
        <v>53</v>
      </c>
      <c r="E1031" s="147">
        <v>3.231</v>
      </c>
      <c r="F1031" s="161">
        <v>0</v>
      </c>
      <c r="G1031" s="145">
        <v>1</v>
      </c>
      <c r="H1031" s="161">
        <v>0</v>
      </c>
      <c r="I1031" s="145">
        <v>0</v>
      </c>
      <c r="J1031" s="123">
        <v>0</v>
      </c>
      <c r="K1031" s="124">
        <v>0</v>
      </c>
      <c r="L1031" s="123">
        <v>1</v>
      </c>
      <c r="M1031" s="124">
        <v>0</v>
      </c>
      <c r="N1031" s="123">
        <v>1</v>
      </c>
      <c r="O1031" s="307">
        <v>0</v>
      </c>
    </row>
    <row r="1032" spans="1:15" ht="12.75">
      <c r="A1032" s="269">
        <v>65</v>
      </c>
      <c r="B1032" s="123">
        <v>3432</v>
      </c>
      <c r="C1032" s="124">
        <v>0</v>
      </c>
      <c r="D1032" s="123">
        <v>55</v>
      </c>
      <c r="E1032" s="147">
        <v>3.398</v>
      </c>
      <c r="F1032" s="161">
        <v>0</v>
      </c>
      <c r="G1032" s="145">
        <v>1</v>
      </c>
      <c r="H1032" s="161">
        <v>0</v>
      </c>
      <c r="I1032" s="145">
        <v>0</v>
      </c>
      <c r="J1032" s="123">
        <v>0</v>
      </c>
      <c r="K1032" s="124">
        <v>0</v>
      </c>
      <c r="L1032" s="123">
        <v>1</v>
      </c>
      <c r="M1032" s="124">
        <v>0</v>
      </c>
      <c r="N1032" s="123">
        <v>1</v>
      </c>
      <c r="O1032" s="307">
        <v>0</v>
      </c>
    </row>
    <row r="1033" spans="1:15" ht="12.75">
      <c r="A1033" s="269">
        <v>79</v>
      </c>
      <c r="B1033" s="123">
        <v>4099</v>
      </c>
      <c r="C1033" s="124">
        <v>1</v>
      </c>
      <c r="D1033" s="123">
        <v>50</v>
      </c>
      <c r="E1033" s="147">
        <v>3.395</v>
      </c>
      <c r="F1033" s="161">
        <v>0</v>
      </c>
      <c r="G1033" s="145">
        <v>1</v>
      </c>
      <c r="H1033" s="161">
        <v>0</v>
      </c>
      <c r="I1033" s="145">
        <v>0</v>
      </c>
      <c r="J1033" s="123">
        <v>0</v>
      </c>
      <c r="K1033" s="124">
        <v>0</v>
      </c>
      <c r="L1033" s="123">
        <v>1</v>
      </c>
      <c r="M1033" s="124">
        <v>0</v>
      </c>
      <c r="N1033" s="123">
        <v>0</v>
      </c>
      <c r="O1033" s="307">
        <v>1</v>
      </c>
    </row>
    <row r="1034" spans="1:15" ht="12.75">
      <c r="A1034" s="269">
        <v>88</v>
      </c>
      <c r="B1034" s="123">
        <v>3779</v>
      </c>
      <c r="C1034" s="124">
        <v>0</v>
      </c>
      <c r="D1034" s="123">
        <v>51</v>
      </c>
      <c r="E1034" s="147">
        <v>3.257</v>
      </c>
      <c r="F1034" s="161">
        <v>0</v>
      </c>
      <c r="G1034" s="145">
        <v>1</v>
      </c>
      <c r="H1034" s="161">
        <v>0</v>
      </c>
      <c r="I1034" s="145">
        <v>0</v>
      </c>
      <c r="J1034" s="123">
        <v>0</v>
      </c>
      <c r="K1034" s="124">
        <v>0</v>
      </c>
      <c r="L1034" s="123">
        <v>1</v>
      </c>
      <c r="M1034" s="124">
        <v>0</v>
      </c>
      <c r="N1034" s="123">
        <v>1</v>
      </c>
      <c r="O1034" s="307">
        <v>0</v>
      </c>
    </row>
    <row r="1035" spans="1:15" ht="12.75">
      <c r="A1035" s="269">
        <v>146</v>
      </c>
      <c r="B1035" s="123">
        <v>4506</v>
      </c>
      <c r="C1035" s="124">
        <v>1</v>
      </c>
      <c r="D1035" s="123">
        <v>52</v>
      </c>
      <c r="E1035" s="147">
        <v>3.355</v>
      </c>
      <c r="F1035" s="161">
        <v>0</v>
      </c>
      <c r="G1035" s="145">
        <v>1</v>
      </c>
      <c r="H1035" s="161">
        <v>0</v>
      </c>
      <c r="I1035" s="145">
        <v>0</v>
      </c>
      <c r="J1035" s="123">
        <v>0</v>
      </c>
      <c r="K1035" s="124">
        <v>0</v>
      </c>
      <c r="L1035" s="123">
        <v>1</v>
      </c>
      <c r="M1035" s="124">
        <v>0</v>
      </c>
      <c r="N1035" s="123">
        <v>0</v>
      </c>
      <c r="O1035" s="307">
        <v>1</v>
      </c>
    </row>
    <row r="1036" spans="1:15" ht="12.75">
      <c r="A1036" s="269">
        <v>161</v>
      </c>
      <c r="B1036" s="123">
        <v>1850</v>
      </c>
      <c r="C1036" s="124">
        <v>0</v>
      </c>
      <c r="D1036" s="123">
        <v>53</v>
      </c>
      <c r="E1036" s="147">
        <v>3.416</v>
      </c>
      <c r="F1036" s="161">
        <v>0</v>
      </c>
      <c r="G1036" s="145">
        <v>1</v>
      </c>
      <c r="H1036" s="161">
        <v>0</v>
      </c>
      <c r="I1036" s="145">
        <v>0</v>
      </c>
      <c r="J1036" s="123">
        <v>0</v>
      </c>
      <c r="K1036" s="124">
        <v>0</v>
      </c>
      <c r="L1036" s="123">
        <v>1</v>
      </c>
      <c r="M1036" s="124">
        <v>0</v>
      </c>
      <c r="N1036" s="123">
        <v>1</v>
      </c>
      <c r="O1036" s="307">
        <v>0</v>
      </c>
    </row>
    <row r="1037" spans="1:15" ht="12.75">
      <c r="A1037" s="269">
        <v>165</v>
      </c>
      <c r="B1037" s="123">
        <v>3991</v>
      </c>
      <c r="C1037" s="124">
        <v>1</v>
      </c>
      <c r="D1037" s="123">
        <v>54</v>
      </c>
      <c r="E1037" s="147">
        <v>3.31</v>
      </c>
      <c r="F1037" s="161">
        <v>0</v>
      </c>
      <c r="G1037" s="145">
        <v>1</v>
      </c>
      <c r="H1037" s="161">
        <v>0</v>
      </c>
      <c r="I1037" s="145">
        <v>0</v>
      </c>
      <c r="J1037" s="123">
        <v>0</v>
      </c>
      <c r="K1037" s="124">
        <v>0</v>
      </c>
      <c r="L1037" s="123">
        <v>1</v>
      </c>
      <c r="M1037" s="124">
        <v>0</v>
      </c>
      <c r="N1037" s="123">
        <v>1</v>
      </c>
      <c r="O1037" s="307">
        <v>0</v>
      </c>
    </row>
    <row r="1038" spans="1:15" ht="12.75">
      <c r="A1038" s="269">
        <v>169</v>
      </c>
      <c r="B1038" s="123">
        <v>2017</v>
      </c>
      <c r="C1038" s="124">
        <v>0</v>
      </c>
      <c r="D1038" s="123">
        <v>54</v>
      </c>
      <c r="E1038" s="147">
        <v>3.368</v>
      </c>
      <c r="F1038" s="161">
        <v>0</v>
      </c>
      <c r="G1038" s="145">
        <v>1</v>
      </c>
      <c r="H1038" s="161">
        <v>0</v>
      </c>
      <c r="I1038" s="145">
        <v>0</v>
      </c>
      <c r="J1038" s="123">
        <v>0</v>
      </c>
      <c r="K1038" s="124">
        <v>0</v>
      </c>
      <c r="L1038" s="123">
        <v>1</v>
      </c>
      <c r="M1038" s="124">
        <v>0</v>
      </c>
      <c r="N1038" s="123">
        <v>0</v>
      </c>
      <c r="O1038" s="307">
        <v>1</v>
      </c>
    </row>
    <row r="1039" spans="1:15" ht="12.75">
      <c r="A1039" s="269">
        <v>170</v>
      </c>
      <c r="B1039" s="123">
        <v>3738</v>
      </c>
      <c r="C1039" s="124">
        <v>1</v>
      </c>
      <c r="D1039" s="123">
        <v>52</v>
      </c>
      <c r="E1039" s="147">
        <v>3.321</v>
      </c>
      <c r="F1039" s="161">
        <v>0</v>
      </c>
      <c r="G1039" s="145">
        <v>1</v>
      </c>
      <c r="H1039" s="161">
        <v>0</v>
      </c>
      <c r="I1039" s="145">
        <v>0</v>
      </c>
      <c r="J1039" s="123">
        <v>0</v>
      </c>
      <c r="K1039" s="124">
        <v>0</v>
      </c>
      <c r="L1039" s="123">
        <v>1</v>
      </c>
      <c r="M1039" s="124">
        <v>0</v>
      </c>
      <c r="N1039" s="123">
        <v>1</v>
      </c>
      <c r="O1039" s="307">
        <v>0</v>
      </c>
    </row>
    <row r="1040" spans="1:15" ht="12.75">
      <c r="A1040" s="269">
        <v>214</v>
      </c>
      <c r="B1040" s="123">
        <v>3364</v>
      </c>
      <c r="C1040" s="124">
        <v>1</v>
      </c>
      <c r="D1040" s="123">
        <v>53</v>
      </c>
      <c r="E1040" s="147">
        <v>3.414</v>
      </c>
      <c r="F1040" s="161">
        <v>0</v>
      </c>
      <c r="G1040" s="145">
        <v>1</v>
      </c>
      <c r="H1040" s="161">
        <v>0</v>
      </c>
      <c r="I1040" s="145">
        <v>0</v>
      </c>
      <c r="J1040" s="123">
        <v>0</v>
      </c>
      <c r="K1040" s="124">
        <v>0</v>
      </c>
      <c r="L1040" s="123">
        <v>1</v>
      </c>
      <c r="M1040" s="124">
        <v>0</v>
      </c>
      <c r="N1040" s="123">
        <v>1</v>
      </c>
      <c r="O1040" s="307">
        <v>0</v>
      </c>
    </row>
    <row r="1041" spans="1:15" ht="12.75">
      <c r="A1041" s="270">
        <v>218</v>
      </c>
      <c r="B1041" s="129">
        <v>1</v>
      </c>
      <c r="C1041" s="162">
        <v>1</v>
      </c>
      <c r="D1041" s="129">
        <v>53</v>
      </c>
      <c r="E1041" s="313">
        <v>2.622</v>
      </c>
      <c r="F1041" s="315">
        <v>0</v>
      </c>
      <c r="G1041" s="320">
        <v>1</v>
      </c>
      <c r="H1041" s="315">
        <v>0</v>
      </c>
      <c r="I1041" s="320">
        <v>0</v>
      </c>
      <c r="J1041" s="129">
        <v>0</v>
      </c>
      <c r="K1041" s="162">
        <v>0</v>
      </c>
      <c r="L1041" s="129">
        <v>1</v>
      </c>
      <c r="M1041" s="162">
        <v>0</v>
      </c>
      <c r="N1041" s="129">
        <v>1</v>
      </c>
      <c r="O1041" s="321">
        <v>0</v>
      </c>
    </row>
    <row r="1042" spans="1:15" s="15" customFormat="1" ht="12.75">
      <c r="A1042" s="249"/>
      <c r="B1042" s="124"/>
      <c r="C1042" s="124"/>
      <c r="D1042" s="124"/>
      <c r="E1042" s="147"/>
      <c r="F1042" s="145"/>
      <c r="G1042" s="145"/>
      <c r="H1042" s="145"/>
      <c r="I1042" s="145"/>
      <c r="J1042" s="124"/>
      <c r="K1042" s="124"/>
      <c r="L1042" s="124"/>
      <c r="M1042" s="124"/>
      <c r="N1042" s="124"/>
      <c r="O1042" s="124"/>
    </row>
    <row r="1043" spans="1:15" ht="13.5" thickBot="1">
      <c r="A1043" s="326" t="s">
        <v>1</v>
      </c>
      <c r="B1043" s="263" t="s">
        <v>2</v>
      </c>
      <c r="C1043" s="263" t="s">
        <v>9</v>
      </c>
      <c r="D1043" s="263" t="s">
        <v>10</v>
      </c>
      <c r="E1043" s="263" t="s">
        <v>11</v>
      </c>
      <c r="F1043" s="261" t="s">
        <v>12</v>
      </c>
      <c r="G1043" s="263" t="s">
        <v>13</v>
      </c>
      <c r="H1043" s="263" t="s">
        <v>14</v>
      </c>
      <c r="I1043" s="263" t="s">
        <v>15</v>
      </c>
      <c r="J1043" s="263" t="s">
        <v>16</v>
      </c>
      <c r="K1043" s="263" t="s">
        <v>17</v>
      </c>
      <c r="L1043" s="263" t="s">
        <v>18</v>
      </c>
      <c r="M1043" s="263" t="s">
        <v>19</v>
      </c>
      <c r="N1043" s="263" t="s">
        <v>20</v>
      </c>
      <c r="O1043" s="263" t="s">
        <v>21</v>
      </c>
    </row>
    <row r="1044" spans="1:15" ht="13.5" thickTop="1">
      <c r="A1044" s="269">
        <v>46</v>
      </c>
      <c r="B1044" s="123">
        <v>1478</v>
      </c>
      <c r="C1044" s="124">
        <v>0</v>
      </c>
      <c r="D1044" s="123">
        <v>54</v>
      </c>
      <c r="E1044" s="147">
        <v>3.593</v>
      </c>
      <c r="F1044" s="161">
        <v>0</v>
      </c>
      <c r="G1044" s="145">
        <v>0</v>
      </c>
      <c r="H1044" s="161">
        <v>1</v>
      </c>
      <c r="I1044" s="145">
        <v>0</v>
      </c>
      <c r="J1044" s="123">
        <v>1</v>
      </c>
      <c r="K1044" s="124">
        <v>0</v>
      </c>
      <c r="L1044" s="123">
        <v>0</v>
      </c>
      <c r="M1044" s="124">
        <v>1</v>
      </c>
      <c r="N1044" s="123">
        <v>0</v>
      </c>
      <c r="O1044" s="307">
        <v>0</v>
      </c>
    </row>
    <row r="1045" spans="1:15" ht="12.75">
      <c r="A1045" s="269">
        <v>55</v>
      </c>
      <c r="B1045" s="123">
        <v>500</v>
      </c>
      <c r="C1045" s="124">
        <v>0</v>
      </c>
      <c r="D1045" s="123">
        <v>52</v>
      </c>
      <c r="E1045" s="147">
        <v>3.558</v>
      </c>
      <c r="F1045" s="161">
        <v>0</v>
      </c>
      <c r="G1045" s="145">
        <v>0</v>
      </c>
      <c r="H1045" s="161">
        <v>1</v>
      </c>
      <c r="I1045" s="145">
        <v>0</v>
      </c>
      <c r="J1045" s="123">
        <v>1</v>
      </c>
      <c r="K1045" s="124">
        <v>0</v>
      </c>
      <c r="L1045" s="123">
        <v>0</v>
      </c>
      <c r="M1045" s="124">
        <v>1</v>
      </c>
      <c r="N1045" s="123">
        <v>0</v>
      </c>
      <c r="O1045" s="307">
        <v>0</v>
      </c>
    </row>
    <row r="1046" spans="1:15" ht="12.75">
      <c r="A1046" s="269">
        <v>62</v>
      </c>
      <c r="B1046" s="123">
        <v>4494</v>
      </c>
      <c r="C1046" s="124">
        <v>0</v>
      </c>
      <c r="D1046" s="123">
        <v>56</v>
      </c>
      <c r="E1046" s="147">
        <v>3.374</v>
      </c>
      <c r="F1046" s="161">
        <v>0</v>
      </c>
      <c r="G1046" s="145">
        <v>0</v>
      </c>
      <c r="H1046" s="161">
        <v>1</v>
      </c>
      <c r="I1046" s="145">
        <v>0</v>
      </c>
      <c r="J1046" s="123">
        <v>1</v>
      </c>
      <c r="K1046" s="124">
        <v>0</v>
      </c>
      <c r="L1046" s="123">
        <v>0</v>
      </c>
      <c r="M1046" s="124">
        <v>1</v>
      </c>
      <c r="N1046" s="123">
        <v>0</v>
      </c>
      <c r="O1046" s="307">
        <v>0</v>
      </c>
    </row>
    <row r="1047" spans="1:15" ht="12.75">
      <c r="A1047" s="269">
        <v>110</v>
      </c>
      <c r="B1047" s="123">
        <v>1705</v>
      </c>
      <c r="C1047" s="124">
        <v>1</v>
      </c>
      <c r="D1047" s="123">
        <v>52</v>
      </c>
      <c r="E1047" s="147">
        <v>3.493</v>
      </c>
      <c r="F1047" s="161">
        <v>0</v>
      </c>
      <c r="G1047" s="145">
        <v>0</v>
      </c>
      <c r="H1047" s="161">
        <v>1</v>
      </c>
      <c r="I1047" s="145">
        <v>0</v>
      </c>
      <c r="J1047" s="123">
        <v>1</v>
      </c>
      <c r="K1047" s="124">
        <v>0</v>
      </c>
      <c r="L1047" s="123">
        <v>0</v>
      </c>
      <c r="M1047" s="124">
        <v>1</v>
      </c>
      <c r="N1047" s="123">
        <v>0</v>
      </c>
      <c r="O1047" s="307">
        <v>0</v>
      </c>
    </row>
    <row r="1048" spans="1:15" ht="12.75">
      <c r="A1048" s="269">
        <v>123</v>
      </c>
      <c r="B1048" s="123">
        <v>15</v>
      </c>
      <c r="C1048" s="124">
        <v>0</v>
      </c>
      <c r="D1048" s="123">
        <v>55</v>
      </c>
      <c r="E1048" s="147">
        <v>3.748</v>
      </c>
      <c r="F1048" s="161">
        <v>0</v>
      </c>
      <c r="G1048" s="145">
        <v>0</v>
      </c>
      <c r="H1048" s="161">
        <v>1</v>
      </c>
      <c r="I1048" s="145">
        <v>0</v>
      </c>
      <c r="J1048" s="123">
        <v>1</v>
      </c>
      <c r="K1048" s="124">
        <v>0</v>
      </c>
      <c r="L1048" s="123">
        <v>0</v>
      </c>
      <c r="M1048" s="124">
        <v>1</v>
      </c>
      <c r="N1048" s="123">
        <v>0</v>
      </c>
      <c r="O1048" s="307">
        <v>0</v>
      </c>
    </row>
    <row r="1049" spans="1:15" ht="12.75">
      <c r="A1049" s="269">
        <v>155</v>
      </c>
      <c r="B1049" s="123">
        <v>3654</v>
      </c>
      <c r="C1049" s="124">
        <v>0</v>
      </c>
      <c r="D1049" s="123">
        <v>55</v>
      </c>
      <c r="E1049" s="147">
        <v>3.8</v>
      </c>
      <c r="F1049" s="161">
        <v>0</v>
      </c>
      <c r="G1049" s="145">
        <v>0</v>
      </c>
      <c r="H1049" s="161">
        <v>1</v>
      </c>
      <c r="I1049" s="145">
        <v>0</v>
      </c>
      <c r="J1049" s="123">
        <v>1</v>
      </c>
      <c r="K1049" s="124">
        <v>0</v>
      </c>
      <c r="L1049" s="123">
        <v>0</v>
      </c>
      <c r="M1049" s="124">
        <v>1</v>
      </c>
      <c r="N1049" s="123">
        <v>0</v>
      </c>
      <c r="O1049" s="307">
        <v>0</v>
      </c>
    </row>
    <row r="1050" spans="1:15" ht="12.75">
      <c r="A1050" s="269">
        <v>180</v>
      </c>
      <c r="B1050" s="123">
        <v>207</v>
      </c>
      <c r="C1050" s="124">
        <v>1</v>
      </c>
      <c r="D1050" s="123">
        <v>56</v>
      </c>
      <c r="E1050" s="147">
        <v>3.687</v>
      </c>
      <c r="F1050" s="161">
        <v>0</v>
      </c>
      <c r="G1050" s="145">
        <v>0</v>
      </c>
      <c r="H1050" s="161">
        <v>1</v>
      </c>
      <c r="I1050" s="145">
        <v>0</v>
      </c>
      <c r="J1050" s="123">
        <v>1</v>
      </c>
      <c r="K1050" s="124">
        <v>0</v>
      </c>
      <c r="L1050" s="123">
        <v>0</v>
      </c>
      <c r="M1050" s="124">
        <v>1</v>
      </c>
      <c r="N1050" s="123">
        <v>0</v>
      </c>
      <c r="O1050" s="307">
        <v>0</v>
      </c>
    </row>
    <row r="1051" spans="1:15" ht="12.75">
      <c r="A1051" s="269">
        <v>210</v>
      </c>
      <c r="B1051" s="123">
        <v>4568</v>
      </c>
      <c r="C1051" s="124">
        <v>0</v>
      </c>
      <c r="D1051" s="123">
        <v>52</v>
      </c>
      <c r="E1051" s="147">
        <v>3.862</v>
      </c>
      <c r="F1051" s="161">
        <v>0</v>
      </c>
      <c r="G1051" s="145">
        <v>0</v>
      </c>
      <c r="H1051" s="161">
        <v>1</v>
      </c>
      <c r="I1051" s="145">
        <v>0</v>
      </c>
      <c r="J1051" s="123">
        <v>1</v>
      </c>
      <c r="K1051" s="124">
        <v>0</v>
      </c>
      <c r="L1051" s="123">
        <v>0</v>
      </c>
      <c r="M1051" s="124">
        <v>1</v>
      </c>
      <c r="N1051" s="123">
        <v>0</v>
      </c>
      <c r="O1051" s="307">
        <v>0</v>
      </c>
    </row>
    <row r="1052" spans="1:15" ht="12.75">
      <c r="A1052" s="269">
        <v>211</v>
      </c>
      <c r="B1052" s="123">
        <v>3163</v>
      </c>
      <c r="C1052" s="124">
        <v>1</v>
      </c>
      <c r="D1052" s="123">
        <v>50</v>
      </c>
      <c r="E1052" s="147">
        <v>3.679</v>
      </c>
      <c r="F1052" s="161">
        <v>0</v>
      </c>
      <c r="G1052" s="145">
        <v>0</v>
      </c>
      <c r="H1052" s="161">
        <v>1</v>
      </c>
      <c r="I1052" s="145">
        <v>0</v>
      </c>
      <c r="J1052" s="123">
        <v>1</v>
      </c>
      <c r="K1052" s="124">
        <v>0</v>
      </c>
      <c r="L1052" s="123">
        <v>0</v>
      </c>
      <c r="M1052" s="124">
        <v>1</v>
      </c>
      <c r="N1052" s="123">
        <v>0</v>
      </c>
      <c r="O1052" s="307">
        <v>0</v>
      </c>
    </row>
    <row r="1053" spans="1:15" ht="12.75">
      <c r="A1053" s="269">
        <v>225</v>
      </c>
      <c r="B1053" s="123">
        <v>493</v>
      </c>
      <c r="C1053" s="124">
        <v>0</v>
      </c>
      <c r="D1053" s="123">
        <v>54</v>
      </c>
      <c r="E1053" s="147">
        <v>3.431</v>
      </c>
      <c r="F1053" s="161">
        <v>0</v>
      </c>
      <c r="G1053" s="145">
        <v>0</v>
      </c>
      <c r="H1053" s="161">
        <v>1</v>
      </c>
      <c r="I1053" s="145">
        <v>0</v>
      </c>
      <c r="J1053" s="123">
        <v>1</v>
      </c>
      <c r="K1053" s="124">
        <v>0</v>
      </c>
      <c r="L1053" s="123">
        <v>0</v>
      </c>
      <c r="M1053" s="124">
        <v>1</v>
      </c>
      <c r="N1053" s="123">
        <v>0</v>
      </c>
      <c r="O1053" s="307">
        <v>0</v>
      </c>
    </row>
    <row r="1054" spans="1:15" ht="12.75">
      <c r="A1054" s="269">
        <v>246</v>
      </c>
      <c r="B1054" s="123">
        <v>1629</v>
      </c>
      <c r="C1054" s="124">
        <v>1</v>
      </c>
      <c r="D1054" s="123">
        <v>55</v>
      </c>
      <c r="E1054" s="147">
        <v>3.654</v>
      </c>
      <c r="F1054" s="161">
        <v>0</v>
      </c>
      <c r="G1054" s="145">
        <v>0</v>
      </c>
      <c r="H1054" s="161">
        <v>1</v>
      </c>
      <c r="I1054" s="145">
        <v>0</v>
      </c>
      <c r="J1054" s="123">
        <v>1</v>
      </c>
      <c r="K1054" s="124">
        <v>0</v>
      </c>
      <c r="L1054" s="123">
        <v>0</v>
      </c>
      <c r="M1054" s="124">
        <v>1</v>
      </c>
      <c r="N1054" s="123">
        <v>0</v>
      </c>
      <c r="O1054" s="307">
        <v>0</v>
      </c>
    </row>
    <row r="1055" spans="1:15" s="15" customFormat="1" ht="12.75">
      <c r="A1055" s="249"/>
      <c r="B1055" s="124"/>
      <c r="C1055" s="124"/>
      <c r="D1055" s="124"/>
      <c r="E1055" s="147"/>
      <c r="F1055" s="145"/>
      <c r="G1055" s="145"/>
      <c r="H1055" s="145"/>
      <c r="I1055" s="145"/>
      <c r="J1055" s="124">
        <f>SUM(J1044:J1054)</f>
        <v>11</v>
      </c>
      <c r="N1055" s="124"/>
      <c r="O1055" s="124"/>
    </row>
    <row r="1056" spans="1:15" ht="12.75">
      <c r="A1056" s="269">
        <v>18</v>
      </c>
      <c r="B1056" s="123">
        <v>3626</v>
      </c>
      <c r="C1056" s="124">
        <v>1</v>
      </c>
      <c r="D1056" s="123">
        <v>54</v>
      </c>
      <c r="E1056" s="147">
        <v>3.394</v>
      </c>
      <c r="F1056" s="161">
        <v>0</v>
      </c>
      <c r="G1056" s="145">
        <v>0</v>
      </c>
      <c r="H1056" s="161">
        <v>1</v>
      </c>
      <c r="I1056" s="145">
        <v>0</v>
      </c>
      <c r="J1056" s="123">
        <v>0</v>
      </c>
      <c r="K1056" s="124">
        <v>1</v>
      </c>
      <c r="L1056" s="123">
        <v>0</v>
      </c>
      <c r="M1056" s="124">
        <v>1</v>
      </c>
      <c r="N1056" s="123">
        <v>0</v>
      </c>
      <c r="O1056" s="307">
        <v>0</v>
      </c>
    </row>
    <row r="1057" spans="1:15" ht="12.75">
      <c r="A1057" s="269">
        <v>20</v>
      </c>
      <c r="B1057" s="123">
        <v>1207</v>
      </c>
      <c r="C1057" s="124">
        <v>1</v>
      </c>
      <c r="D1057" s="123">
        <v>54</v>
      </c>
      <c r="E1057" s="147">
        <v>3.751</v>
      </c>
      <c r="F1057" s="161">
        <v>0</v>
      </c>
      <c r="G1057" s="145">
        <v>0</v>
      </c>
      <c r="H1057" s="161">
        <v>1</v>
      </c>
      <c r="I1057" s="145">
        <v>0</v>
      </c>
      <c r="J1057" s="123">
        <v>0</v>
      </c>
      <c r="K1057" s="124">
        <v>1</v>
      </c>
      <c r="L1057" s="123">
        <v>0</v>
      </c>
      <c r="M1057" s="124">
        <v>0</v>
      </c>
      <c r="N1057" s="123">
        <v>1</v>
      </c>
      <c r="O1057" s="307">
        <v>0</v>
      </c>
    </row>
    <row r="1058" spans="1:15" ht="12.75">
      <c r="A1058" s="269">
        <v>33</v>
      </c>
      <c r="B1058" s="123">
        <v>3950</v>
      </c>
      <c r="C1058" s="124">
        <v>1</v>
      </c>
      <c r="D1058" s="123">
        <v>55</v>
      </c>
      <c r="E1058" s="147">
        <v>3.524</v>
      </c>
      <c r="F1058" s="161">
        <v>0</v>
      </c>
      <c r="G1058" s="145">
        <v>0</v>
      </c>
      <c r="H1058" s="161">
        <v>1</v>
      </c>
      <c r="I1058" s="145">
        <v>0</v>
      </c>
      <c r="J1058" s="123">
        <v>0</v>
      </c>
      <c r="K1058" s="124">
        <v>1</v>
      </c>
      <c r="L1058" s="123">
        <v>0</v>
      </c>
      <c r="M1058" s="124">
        <v>1</v>
      </c>
      <c r="N1058" s="123">
        <v>0</v>
      </c>
      <c r="O1058" s="307">
        <v>0</v>
      </c>
    </row>
    <row r="1059" spans="1:15" ht="12.75">
      <c r="A1059" s="269">
        <v>34</v>
      </c>
      <c r="B1059" s="123">
        <v>3476</v>
      </c>
      <c r="C1059" s="124">
        <v>1</v>
      </c>
      <c r="D1059" s="123">
        <v>55</v>
      </c>
      <c r="E1059" s="147">
        <v>3.65</v>
      </c>
      <c r="F1059" s="161">
        <v>0</v>
      </c>
      <c r="G1059" s="145">
        <v>0</v>
      </c>
      <c r="H1059" s="161">
        <v>1</v>
      </c>
      <c r="I1059" s="145">
        <v>0</v>
      </c>
      <c r="J1059" s="123">
        <v>0</v>
      </c>
      <c r="K1059" s="124">
        <v>1</v>
      </c>
      <c r="L1059" s="123">
        <v>0</v>
      </c>
      <c r="M1059" s="124">
        <v>0</v>
      </c>
      <c r="N1059" s="123">
        <v>0</v>
      </c>
      <c r="O1059" s="307">
        <v>1</v>
      </c>
    </row>
    <row r="1060" spans="1:15" ht="12.75">
      <c r="A1060" s="269">
        <v>35</v>
      </c>
      <c r="B1060" s="123">
        <v>3106</v>
      </c>
      <c r="C1060" s="124">
        <v>0</v>
      </c>
      <c r="D1060" s="123">
        <v>56</v>
      </c>
      <c r="E1060" s="147">
        <v>3.449</v>
      </c>
      <c r="F1060" s="161">
        <v>0</v>
      </c>
      <c r="G1060" s="145">
        <v>0</v>
      </c>
      <c r="H1060" s="161">
        <v>1</v>
      </c>
      <c r="I1060" s="145">
        <v>0</v>
      </c>
      <c r="J1060" s="123">
        <v>0</v>
      </c>
      <c r="K1060" s="124">
        <v>1</v>
      </c>
      <c r="L1060" s="123">
        <v>0</v>
      </c>
      <c r="M1060" s="124">
        <v>0</v>
      </c>
      <c r="N1060" s="123">
        <v>1</v>
      </c>
      <c r="O1060" s="307">
        <v>0</v>
      </c>
    </row>
    <row r="1061" spans="1:15" ht="12.75">
      <c r="A1061" s="269">
        <v>37</v>
      </c>
      <c r="B1061" s="123">
        <v>887</v>
      </c>
      <c r="C1061" s="124">
        <v>0</v>
      </c>
      <c r="D1061" s="123">
        <v>55</v>
      </c>
      <c r="E1061" s="147">
        <v>3.553</v>
      </c>
      <c r="F1061" s="161">
        <v>0</v>
      </c>
      <c r="G1061" s="145">
        <v>0</v>
      </c>
      <c r="H1061" s="161">
        <v>1</v>
      </c>
      <c r="I1061" s="145">
        <v>0</v>
      </c>
      <c r="J1061" s="123">
        <v>0</v>
      </c>
      <c r="K1061" s="124">
        <v>1</v>
      </c>
      <c r="L1061" s="123">
        <v>0</v>
      </c>
      <c r="M1061" s="124">
        <v>0</v>
      </c>
      <c r="N1061" s="123">
        <v>1</v>
      </c>
      <c r="O1061" s="307">
        <v>0</v>
      </c>
    </row>
    <row r="1062" spans="1:15" ht="12.75">
      <c r="A1062" s="269">
        <v>40</v>
      </c>
      <c r="B1062" s="123">
        <v>3156</v>
      </c>
      <c r="C1062" s="124">
        <v>0</v>
      </c>
      <c r="D1062" s="123">
        <v>53</v>
      </c>
      <c r="E1062" s="147">
        <v>3.747</v>
      </c>
      <c r="F1062" s="161">
        <v>0</v>
      </c>
      <c r="G1062" s="145">
        <v>0</v>
      </c>
      <c r="H1062" s="161">
        <v>1</v>
      </c>
      <c r="I1062" s="145">
        <v>0</v>
      </c>
      <c r="J1062" s="123">
        <v>0</v>
      </c>
      <c r="K1062" s="124">
        <v>1</v>
      </c>
      <c r="L1062" s="123">
        <v>0</v>
      </c>
      <c r="M1062" s="124">
        <v>0</v>
      </c>
      <c r="N1062" s="123">
        <v>1</v>
      </c>
      <c r="O1062" s="307">
        <v>0</v>
      </c>
    </row>
    <row r="1063" spans="1:15" ht="12.75">
      <c r="A1063" s="269">
        <v>45</v>
      </c>
      <c r="B1063" s="123">
        <v>3149</v>
      </c>
      <c r="C1063" s="124">
        <v>1</v>
      </c>
      <c r="D1063" s="123">
        <v>54</v>
      </c>
      <c r="E1063" s="147">
        <v>3.541</v>
      </c>
      <c r="F1063" s="161">
        <v>0</v>
      </c>
      <c r="G1063" s="145">
        <v>0</v>
      </c>
      <c r="H1063" s="161">
        <v>1</v>
      </c>
      <c r="I1063" s="145">
        <v>0</v>
      </c>
      <c r="J1063" s="123">
        <v>0</v>
      </c>
      <c r="K1063" s="124">
        <v>1</v>
      </c>
      <c r="L1063" s="123">
        <v>0</v>
      </c>
      <c r="M1063" s="124">
        <v>0</v>
      </c>
      <c r="N1063" s="123">
        <v>0</v>
      </c>
      <c r="O1063" s="307">
        <v>1</v>
      </c>
    </row>
    <row r="1064" spans="1:15" ht="12.75">
      <c r="A1064" s="269">
        <v>50</v>
      </c>
      <c r="B1064" s="123">
        <v>3727</v>
      </c>
      <c r="C1064" s="124">
        <v>0</v>
      </c>
      <c r="D1064" s="123">
        <v>52</v>
      </c>
      <c r="E1064" s="147">
        <v>3.753</v>
      </c>
      <c r="F1064" s="161">
        <v>0</v>
      </c>
      <c r="G1064" s="145">
        <v>0</v>
      </c>
      <c r="H1064" s="161">
        <v>1</v>
      </c>
      <c r="I1064" s="145">
        <v>0</v>
      </c>
      <c r="J1064" s="123">
        <v>0</v>
      </c>
      <c r="K1064" s="124">
        <v>1</v>
      </c>
      <c r="L1064" s="123">
        <v>0</v>
      </c>
      <c r="M1064" s="124">
        <v>0</v>
      </c>
      <c r="N1064" s="123">
        <v>1</v>
      </c>
      <c r="O1064" s="307">
        <v>0</v>
      </c>
    </row>
    <row r="1065" spans="1:15" ht="12.75">
      <c r="A1065" s="269">
        <v>52</v>
      </c>
      <c r="B1065" s="123">
        <v>980</v>
      </c>
      <c r="C1065" s="124">
        <v>0</v>
      </c>
      <c r="D1065" s="123">
        <v>52</v>
      </c>
      <c r="E1065" s="147">
        <v>3.796</v>
      </c>
      <c r="F1065" s="161">
        <v>0</v>
      </c>
      <c r="G1065" s="145">
        <v>0</v>
      </c>
      <c r="H1065" s="161">
        <v>1</v>
      </c>
      <c r="I1065" s="145">
        <v>0</v>
      </c>
      <c r="J1065" s="123">
        <v>0</v>
      </c>
      <c r="K1065" s="124">
        <v>1</v>
      </c>
      <c r="L1065" s="123">
        <v>0</v>
      </c>
      <c r="M1065" s="124">
        <v>0</v>
      </c>
      <c r="N1065" s="123">
        <v>1</v>
      </c>
      <c r="O1065" s="307">
        <v>0</v>
      </c>
    </row>
    <row r="1066" spans="1:15" ht="12.75">
      <c r="A1066" s="269">
        <v>54</v>
      </c>
      <c r="B1066" s="123">
        <v>403</v>
      </c>
      <c r="C1066" s="124">
        <v>0</v>
      </c>
      <c r="D1066" s="123">
        <v>52</v>
      </c>
      <c r="E1066" s="147">
        <v>4.091</v>
      </c>
      <c r="F1066" s="161">
        <v>0</v>
      </c>
      <c r="G1066" s="145">
        <v>0</v>
      </c>
      <c r="H1066" s="161">
        <v>1</v>
      </c>
      <c r="I1066" s="145">
        <v>0</v>
      </c>
      <c r="J1066" s="123">
        <v>0</v>
      </c>
      <c r="K1066" s="124">
        <v>1</v>
      </c>
      <c r="L1066" s="123">
        <v>0</v>
      </c>
      <c r="M1066" s="124">
        <v>0</v>
      </c>
      <c r="N1066" s="123">
        <v>0</v>
      </c>
      <c r="O1066" s="307">
        <v>1</v>
      </c>
    </row>
    <row r="1067" spans="1:15" ht="12.75">
      <c r="A1067" s="269">
        <v>56</v>
      </c>
      <c r="B1067" s="123">
        <v>3049</v>
      </c>
      <c r="C1067" s="124">
        <v>1</v>
      </c>
      <c r="D1067" s="123">
        <v>54</v>
      </c>
      <c r="E1067" s="147">
        <v>3.592</v>
      </c>
      <c r="F1067" s="161">
        <v>0</v>
      </c>
      <c r="G1067" s="145">
        <v>0</v>
      </c>
      <c r="H1067" s="161">
        <v>1</v>
      </c>
      <c r="I1067" s="145">
        <v>0</v>
      </c>
      <c r="J1067" s="123">
        <v>0</v>
      </c>
      <c r="K1067" s="124">
        <v>1</v>
      </c>
      <c r="L1067" s="123">
        <v>0</v>
      </c>
      <c r="M1067" s="124">
        <v>0</v>
      </c>
      <c r="N1067" s="123">
        <v>0</v>
      </c>
      <c r="O1067" s="307">
        <v>1</v>
      </c>
    </row>
    <row r="1068" spans="1:15" ht="12.75">
      <c r="A1068" s="269">
        <v>59</v>
      </c>
      <c r="B1068" s="123">
        <v>4376</v>
      </c>
      <c r="C1068" s="124">
        <v>0</v>
      </c>
      <c r="D1068" s="123">
        <v>51</v>
      </c>
      <c r="E1068" s="147">
        <v>3.504</v>
      </c>
      <c r="F1068" s="161">
        <v>0</v>
      </c>
      <c r="G1068" s="145">
        <v>0</v>
      </c>
      <c r="H1068" s="161">
        <v>1</v>
      </c>
      <c r="I1068" s="145">
        <v>0</v>
      </c>
      <c r="J1068" s="123">
        <v>0</v>
      </c>
      <c r="K1068" s="124">
        <v>1</v>
      </c>
      <c r="L1068" s="123">
        <v>0</v>
      </c>
      <c r="M1068" s="124">
        <v>0</v>
      </c>
      <c r="N1068" s="123">
        <v>1</v>
      </c>
      <c r="O1068" s="307">
        <v>0</v>
      </c>
    </row>
    <row r="1069" spans="1:15" ht="12.75">
      <c r="A1069" s="269">
        <v>64</v>
      </c>
      <c r="B1069" s="123">
        <v>3635</v>
      </c>
      <c r="C1069" s="124">
        <v>0</v>
      </c>
      <c r="D1069" s="123">
        <v>51</v>
      </c>
      <c r="E1069" s="147">
        <v>3.572</v>
      </c>
      <c r="F1069" s="161">
        <v>0</v>
      </c>
      <c r="G1069" s="145">
        <v>0</v>
      </c>
      <c r="H1069" s="161">
        <v>1</v>
      </c>
      <c r="I1069" s="145">
        <v>0</v>
      </c>
      <c r="J1069" s="123">
        <v>0</v>
      </c>
      <c r="K1069" s="124">
        <v>1</v>
      </c>
      <c r="L1069" s="123">
        <v>0</v>
      </c>
      <c r="M1069" s="124">
        <v>0</v>
      </c>
      <c r="N1069" s="123">
        <v>1</v>
      </c>
      <c r="O1069" s="307">
        <v>0</v>
      </c>
    </row>
    <row r="1070" spans="1:15" ht="12.75">
      <c r="A1070" s="269">
        <v>67</v>
      </c>
      <c r="B1070" s="123">
        <v>3772</v>
      </c>
      <c r="C1070" s="124">
        <v>0</v>
      </c>
      <c r="D1070" s="123">
        <v>54</v>
      </c>
      <c r="E1070" s="147">
        <v>3.698</v>
      </c>
      <c r="F1070" s="161">
        <v>0</v>
      </c>
      <c r="G1070" s="145">
        <v>0</v>
      </c>
      <c r="H1070" s="161">
        <v>1</v>
      </c>
      <c r="I1070" s="145">
        <v>0</v>
      </c>
      <c r="J1070" s="123">
        <v>0</v>
      </c>
      <c r="K1070" s="124">
        <v>1</v>
      </c>
      <c r="L1070" s="123">
        <v>0</v>
      </c>
      <c r="M1070" s="124">
        <v>0</v>
      </c>
      <c r="N1070" s="123">
        <v>1</v>
      </c>
      <c r="O1070" s="307">
        <v>0</v>
      </c>
    </row>
    <row r="1071" spans="1:15" ht="12.75">
      <c r="A1071" s="269">
        <v>70</v>
      </c>
      <c r="B1071" s="123">
        <v>4353</v>
      </c>
      <c r="C1071" s="124">
        <v>0</v>
      </c>
      <c r="D1071" s="123">
        <v>51</v>
      </c>
      <c r="E1071" s="147">
        <v>3.64</v>
      </c>
      <c r="F1071" s="161">
        <v>0</v>
      </c>
      <c r="G1071" s="145">
        <v>0</v>
      </c>
      <c r="H1071" s="161">
        <v>1</v>
      </c>
      <c r="I1071" s="145">
        <v>0</v>
      </c>
      <c r="J1071" s="123">
        <v>0</v>
      </c>
      <c r="K1071" s="124">
        <v>1</v>
      </c>
      <c r="L1071" s="123">
        <v>0</v>
      </c>
      <c r="M1071" s="124">
        <v>1</v>
      </c>
      <c r="N1071" s="123">
        <v>0</v>
      </c>
      <c r="O1071" s="307">
        <v>0</v>
      </c>
    </row>
    <row r="1072" spans="1:15" ht="12.75">
      <c r="A1072" s="269">
        <v>72</v>
      </c>
      <c r="B1072" s="123">
        <v>2742</v>
      </c>
      <c r="C1072" s="124">
        <v>0</v>
      </c>
      <c r="D1072" s="123">
        <v>51</v>
      </c>
      <c r="E1072" s="147">
        <v>3.564</v>
      </c>
      <c r="F1072" s="161">
        <v>0</v>
      </c>
      <c r="G1072" s="145">
        <v>0</v>
      </c>
      <c r="H1072" s="161">
        <v>1</v>
      </c>
      <c r="I1072" s="145">
        <v>0</v>
      </c>
      <c r="J1072" s="123">
        <v>0</v>
      </c>
      <c r="K1072" s="124">
        <v>1</v>
      </c>
      <c r="L1072" s="123">
        <v>0</v>
      </c>
      <c r="M1072" s="124">
        <v>0</v>
      </c>
      <c r="N1072" s="123">
        <v>0</v>
      </c>
      <c r="O1072" s="307">
        <v>1</v>
      </c>
    </row>
    <row r="1073" spans="1:15" ht="12.75">
      <c r="A1073" s="269">
        <v>74</v>
      </c>
      <c r="B1073" s="123">
        <v>3003</v>
      </c>
      <c r="C1073" s="124">
        <v>0</v>
      </c>
      <c r="D1073" s="123">
        <v>52</v>
      </c>
      <c r="E1073" s="147">
        <v>2.837</v>
      </c>
      <c r="F1073" s="161">
        <v>0</v>
      </c>
      <c r="G1073" s="145">
        <v>0</v>
      </c>
      <c r="H1073" s="161">
        <v>1</v>
      </c>
      <c r="I1073" s="145">
        <v>0</v>
      </c>
      <c r="J1073" s="123">
        <v>0</v>
      </c>
      <c r="K1073" s="124">
        <v>1</v>
      </c>
      <c r="L1073" s="123">
        <v>0</v>
      </c>
      <c r="M1073" s="124">
        <v>0</v>
      </c>
      <c r="N1073" s="123">
        <v>0</v>
      </c>
      <c r="O1073" s="307">
        <v>1</v>
      </c>
    </row>
    <row r="1074" spans="1:15" ht="12.75">
      <c r="A1074" s="269">
        <v>75</v>
      </c>
      <c r="B1074" s="123">
        <v>1078</v>
      </c>
      <c r="C1074" s="124">
        <v>1</v>
      </c>
      <c r="D1074" s="123">
        <v>55</v>
      </c>
      <c r="E1074" s="147">
        <v>3.584</v>
      </c>
      <c r="F1074" s="161">
        <v>0</v>
      </c>
      <c r="G1074" s="145">
        <v>0</v>
      </c>
      <c r="H1074" s="161">
        <v>1</v>
      </c>
      <c r="I1074" s="145">
        <v>0</v>
      </c>
      <c r="J1074" s="123">
        <v>0</v>
      </c>
      <c r="K1074" s="124">
        <v>1</v>
      </c>
      <c r="L1074" s="123">
        <v>0</v>
      </c>
      <c r="M1074" s="124">
        <v>1</v>
      </c>
      <c r="N1074" s="123">
        <v>0</v>
      </c>
      <c r="O1074" s="307">
        <v>0</v>
      </c>
    </row>
    <row r="1075" spans="1:15" ht="12.75">
      <c r="A1075" s="269">
        <v>76</v>
      </c>
      <c r="B1075" s="123">
        <v>949</v>
      </c>
      <c r="C1075" s="124">
        <v>0</v>
      </c>
      <c r="D1075" s="123">
        <v>55</v>
      </c>
      <c r="E1075" s="147">
        <v>3.594</v>
      </c>
      <c r="F1075" s="161">
        <v>0</v>
      </c>
      <c r="G1075" s="145">
        <v>0</v>
      </c>
      <c r="H1075" s="161">
        <v>1</v>
      </c>
      <c r="I1075" s="145">
        <v>0</v>
      </c>
      <c r="J1075" s="123">
        <v>0</v>
      </c>
      <c r="K1075" s="124">
        <v>1</v>
      </c>
      <c r="L1075" s="123">
        <v>0</v>
      </c>
      <c r="M1075" s="124">
        <v>1</v>
      </c>
      <c r="N1075" s="123">
        <v>0</v>
      </c>
      <c r="O1075" s="307">
        <v>0</v>
      </c>
    </row>
    <row r="1076" spans="1:15" ht="12.75">
      <c r="A1076" s="269">
        <v>77</v>
      </c>
      <c r="B1076" s="123">
        <v>61</v>
      </c>
      <c r="C1076" s="124">
        <v>0</v>
      </c>
      <c r="D1076" s="123">
        <v>51</v>
      </c>
      <c r="E1076" s="147">
        <v>3.593</v>
      </c>
      <c r="F1076" s="161">
        <v>0</v>
      </c>
      <c r="G1076" s="145">
        <v>0</v>
      </c>
      <c r="H1076" s="161">
        <v>1</v>
      </c>
      <c r="I1076" s="145">
        <v>0</v>
      </c>
      <c r="J1076" s="123">
        <v>0</v>
      </c>
      <c r="K1076" s="124">
        <v>1</v>
      </c>
      <c r="L1076" s="123">
        <v>0</v>
      </c>
      <c r="M1076" s="124">
        <v>0</v>
      </c>
      <c r="N1076" s="123">
        <v>1</v>
      </c>
      <c r="O1076" s="307">
        <v>0</v>
      </c>
    </row>
    <row r="1077" spans="1:15" ht="12.75">
      <c r="A1077" s="269">
        <v>82</v>
      </c>
      <c r="B1077" s="123">
        <v>1463</v>
      </c>
      <c r="C1077" s="124">
        <v>1</v>
      </c>
      <c r="D1077" s="123">
        <v>50</v>
      </c>
      <c r="E1077" s="147">
        <v>3.66</v>
      </c>
      <c r="F1077" s="161">
        <v>0</v>
      </c>
      <c r="G1077" s="145">
        <v>0</v>
      </c>
      <c r="H1077" s="161">
        <v>1</v>
      </c>
      <c r="I1077" s="145">
        <v>0</v>
      </c>
      <c r="J1077" s="123">
        <v>0</v>
      </c>
      <c r="K1077" s="124">
        <v>1</v>
      </c>
      <c r="L1077" s="123">
        <v>0</v>
      </c>
      <c r="M1077" s="124">
        <v>0</v>
      </c>
      <c r="N1077" s="123">
        <v>1</v>
      </c>
      <c r="O1077" s="307">
        <v>0</v>
      </c>
    </row>
    <row r="1078" spans="1:15" ht="12.75">
      <c r="A1078" s="269">
        <v>84</v>
      </c>
      <c r="B1078" s="123">
        <v>1805</v>
      </c>
      <c r="C1078" s="124">
        <v>0</v>
      </c>
      <c r="D1078" s="123">
        <v>51</v>
      </c>
      <c r="E1078" s="147">
        <v>3.56</v>
      </c>
      <c r="F1078" s="161">
        <v>0</v>
      </c>
      <c r="G1078" s="145">
        <v>0</v>
      </c>
      <c r="H1078" s="161">
        <v>1</v>
      </c>
      <c r="I1078" s="145">
        <v>0</v>
      </c>
      <c r="J1078" s="123">
        <v>0</v>
      </c>
      <c r="K1078" s="124">
        <v>1</v>
      </c>
      <c r="L1078" s="123">
        <v>0</v>
      </c>
      <c r="M1078" s="124">
        <v>0</v>
      </c>
      <c r="N1078" s="123">
        <v>1</v>
      </c>
      <c r="O1078" s="307">
        <v>0</v>
      </c>
    </row>
    <row r="1079" spans="1:15" ht="12.75">
      <c r="A1079" s="269">
        <v>95</v>
      </c>
      <c r="B1079" s="123">
        <v>1556</v>
      </c>
      <c r="C1079" s="124">
        <v>1</v>
      </c>
      <c r="D1079" s="123">
        <v>54</v>
      </c>
      <c r="E1079" s="147">
        <v>3.602</v>
      </c>
      <c r="F1079" s="161">
        <v>0</v>
      </c>
      <c r="G1079" s="145">
        <v>0</v>
      </c>
      <c r="H1079" s="161">
        <v>1</v>
      </c>
      <c r="I1079" s="145">
        <v>0</v>
      </c>
      <c r="J1079" s="123">
        <v>0</v>
      </c>
      <c r="K1079" s="124">
        <v>1</v>
      </c>
      <c r="L1079" s="123">
        <v>0</v>
      </c>
      <c r="M1079" s="124">
        <v>1</v>
      </c>
      <c r="N1079" s="123">
        <v>0</v>
      </c>
      <c r="O1079" s="307">
        <v>0</v>
      </c>
    </row>
    <row r="1080" spans="1:15" ht="12.75">
      <c r="A1080" s="269">
        <v>100</v>
      </c>
      <c r="B1080" s="123">
        <v>3410</v>
      </c>
      <c r="C1080" s="124">
        <v>1</v>
      </c>
      <c r="D1080" s="123">
        <v>52</v>
      </c>
      <c r="E1080" s="147">
        <v>3.568</v>
      </c>
      <c r="F1080" s="161">
        <v>0</v>
      </c>
      <c r="G1080" s="145">
        <v>0</v>
      </c>
      <c r="H1080" s="161">
        <v>1</v>
      </c>
      <c r="I1080" s="145">
        <v>0</v>
      </c>
      <c r="J1080" s="123">
        <v>0</v>
      </c>
      <c r="K1080" s="124">
        <v>1</v>
      </c>
      <c r="L1080" s="123">
        <v>0</v>
      </c>
      <c r="M1080" s="124">
        <v>0</v>
      </c>
      <c r="N1080" s="123">
        <v>0</v>
      </c>
      <c r="O1080" s="307">
        <v>1</v>
      </c>
    </row>
    <row r="1081" spans="1:15" ht="12.75">
      <c r="A1081" s="269">
        <v>101</v>
      </c>
      <c r="B1081" s="123">
        <v>1800</v>
      </c>
      <c r="C1081" s="124">
        <v>1</v>
      </c>
      <c r="D1081" s="123">
        <v>53</v>
      </c>
      <c r="E1081" s="147">
        <v>3.491</v>
      </c>
      <c r="F1081" s="161">
        <v>0</v>
      </c>
      <c r="G1081" s="145">
        <v>0</v>
      </c>
      <c r="H1081" s="161">
        <v>1</v>
      </c>
      <c r="I1081" s="145">
        <v>0</v>
      </c>
      <c r="J1081" s="123">
        <v>0</v>
      </c>
      <c r="K1081" s="124">
        <v>1</v>
      </c>
      <c r="L1081" s="123">
        <v>0</v>
      </c>
      <c r="M1081" s="124">
        <v>1</v>
      </c>
      <c r="N1081" s="123">
        <v>0</v>
      </c>
      <c r="O1081" s="307">
        <v>0</v>
      </c>
    </row>
    <row r="1082" spans="1:15" ht="12.75">
      <c r="A1082" s="269">
        <v>112</v>
      </c>
      <c r="B1082" s="123">
        <v>3651</v>
      </c>
      <c r="C1082" s="124">
        <v>1</v>
      </c>
      <c r="D1082" s="123">
        <v>54</v>
      </c>
      <c r="E1082" s="147">
        <v>3.737</v>
      </c>
      <c r="F1082" s="161">
        <v>0</v>
      </c>
      <c r="G1082" s="145">
        <v>0</v>
      </c>
      <c r="H1082" s="161">
        <v>1</v>
      </c>
      <c r="I1082" s="145">
        <v>0</v>
      </c>
      <c r="J1082" s="123">
        <v>0</v>
      </c>
      <c r="K1082" s="124">
        <v>1</v>
      </c>
      <c r="L1082" s="123">
        <v>0</v>
      </c>
      <c r="M1082" s="124">
        <v>1</v>
      </c>
      <c r="N1082" s="123">
        <v>0</v>
      </c>
      <c r="O1082" s="307">
        <v>0</v>
      </c>
    </row>
    <row r="1083" spans="1:15" ht="12.75">
      <c r="A1083" s="269">
        <v>116</v>
      </c>
      <c r="B1083" s="123">
        <v>478</v>
      </c>
      <c r="C1083" s="124">
        <v>0</v>
      </c>
      <c r="D1083" s="123">
        <v>54</v>
      </c>
      <c r="E1083" s="147">
        <v>3.643</v>
      </c>
      <c r="F1083" s="161">
        <v>0</v>
      </c>
      <c r="G1083" s="145">
        <v>0</v>
      </c>
      <c r="H1083" s="161">
        <v>1</v>
      </c>
      <c r="I1083" s="145">
        <v>0</v>
      </c>
      <c r="J1083" s="123">
        <v>0</v>
      </c>
      <c r="K1083" s="124">
        <v>1</v>
      </c>
      <c r="L1083" s="123">
        <v>0</v>
      </c>
      <c r="M1083" s="124">
        <v>1</v>
      </c>
      <c r="N1083" s="123">
        <v>0</v>
      </c>
      <c r="O1083" s="307">
        <v>0</v>
      </c>
    </row>
    <row r="1084" spans="1:15" ht="12.75">
      <c r="A1084" s="269">
        <v>118</v>
      </c>
      <c r="B1084" s="123">
        <v>4544</v>
      </c>
      <c r="C1084" s="124">
        <v>0</v>
      </c>
      <c r="D1084" s="123">
        <v>53</v>
      </c>
      <c r="E1084" s="147">
        <v>3.646</v>
      </c>
      <c r="F1084" s="161">
        <v>0</v>
      </c>
      <c r="G1084" s="145">
        <v>0</v>
      </c>
      <c r="H1084" s="161">
        <v>1</v>
      </c>
      <c r="I1084" s="145">
        <v>0</v>
      </c>
      <c r="J1084" s="123">
        <v>0</v>
      </c>
      <c r="K1084" s="124">
        <v>1</v>
      </c>
      <c r="L1084" s="123">
        <v>0</v>
      </c>
      <c r="M1084" s="124">
        <v>0</v>
      </c>
      <c r="N1084" s="123">
        <v>0</v>
      </c>
      <c r="O1084" s="307">
        <v>1</v>
      </c>
    </row>
    <row r="1085" spans="1:15" ht="12.75">
      <c r="A1085" s="269">
        <v>121</v>
      </c>
      <c r="B1085" s="123">
        <v>3376</v>
      </c>
      <c r="C1085" s="124">
        <v>0</v>
      </c>
      <c r="D1085" s="123">
        <v>54</v>
      </c>
      <c r="E1085" s="147">
        <v>3.819</v>
      </c>
      <c r="F1085" s="161">
        <v>0</v>
      </c>
      <c r="G1085" s="145">
        <v>0</v>
      </c>
      <c r="H1085" s="161">
        <v>1</v>
      </c>
      <c r="I1085" s="145">
        <v>0</v>
      </c>
      <c r="J1085" s="123">
        <v>0</v>
      </c>
      <c r="K1085" s="124">
        <v>1</v>
      </c>
      <c r="L1085" s="123">
        <v>0</v>
      </c>
      <c r="M1085" s="124">
        <v>0</v>
      </c>
      <c r="N1085" s="123">
        <v>1</v>
      </c>
      <c r="O1085" s="307">
        <v>0</v>
      </c>
    </row>
    <row r="1086" spans="1:15" ht="12.75">
      <c r="A1086" s="269">
        <v>122</v>
      </c>
      <c r="B1086" s="123">
        <v>3031</v>
      </c>
      <c r="C1086" s="124">
        <v>0</v>
      </c>
      <c r="D1086" s="123">
        <v>54</v>
      </c>
      <c r="E1086" s="147">
        <v>3.763</v>
      </c>
      <c r="F1086" s="161">
        <v>0</v>
      </c>
      <c r="G1086" s="145">
        <v>0</v>
      </c>
      <c r="H1086" s="161">
        <v>1</v>
      </c>
      <c r="I1086" s="145">
        <v>0</v>
      </c>
      <c r="J1086" s="123">
        <v>0</v>
      </c>
      <c r="K1086" s="124">
        <v>1</v>
      </c>
      <c r="L1086" s="123">
        <v>0</v>
      </c>
      <c r="M1086" s="124">
        <v>0</v>
      </c>
      <c r="N1086" s="123">
        <v>1</v>
      </c>
      <c r="O1086" s="307">
        <v>0</v>
      </c>
    </row>
    <row r="1087" spans="1:15" ht="12.75">
      <c r="A1087" s="269">
        <v>134</v>
      </c>
      <c r="B1087" s="123">
        <v>876</v>
      </c>
      <c r="C1087" s="124">
        <v>1</v>
      </c>
      <c r="D1087" s="123">
        <v>53</v>
      </c>
      <c r="E1087" s="147">
        <v>3.749</v>
      </c>
      <c r="F1087" s="161">
        <v>0</v>
      </c>
      <c r="G1087" s="145">
        <v>0</v>
      </c>
      <c r="H1087" s="161">
        <v>1</v>
      </c>
      <c r="I1087" s="145">
        <v>0</v>
      </c>
      <c r="J1087" s="123">
        <v>0</v>
      </c>
      <c r="K1087" s="124">
        <v>1</v>
      </c>
      <c r="L1087" s="123">
        <v>0</v>
      </c>
      <c r="M1087" s="124">
        <v>1</v>
      </c>
      <c r="N1087" s="123">
        <v>0</v>
      </c>
      <c r="O1087" s="307">
        <v>0</v>
      </c>
    </row>
    <row r="1088" spans="1:15" ht="12.75">
      <c r="A1088" s="269">
        <v>135</v>
      </c>
      <c r="B1088" s="123">
        <v>2709</v>
      </c>
      <c r="C1088" s="124">
        <v>1</v>
      </c>
      <c r="D1088" s="123">
        <v>55</v>
      </c>
      <c r="E1088" s="147">
        <v>3.539</v>
      </c>
      <c r="F1088" s="161">
        <v>0</v>
      </c>
      <c r="G1088" s="145">
        <v>0</v>
      </c>
      <c r="H1088" s="161">
        <v>1</v>
      </c>
      <c r="I1088" s="145">
        <v>0</v>
      </c>
      <c r="J1088" s="123">
        <v>0</v>
      </c>
      <c r="K1088" s="124">
        <v>1</v>
      </c>
      <c r="L1088" s="123">
        <v>0</v>
      </c>
      <c r="M1088" s="124">
        <v>1</v>
      </c>
      <c r="N1088" s="123">
        <v>0</v>
      </c>
      <c r="O1088" s="307">
        <v>0</v>
      </c>
    </row>
    <row r="1089" spans="1:15" ht="12.75">
      <c r="A1089" s="269">
        <v>150</v>
      </c>
      <c r="B1089" s="123">
        <v>233</v>
      </c>
      <c r="C1089" s="124">
        <v>0</v>
      </c>
      <c r="D1089" s="123">
        <v>55</v>
      </c>
      <c r="E1089" s="147">
        <v>3.531</v>
      </c>
      <c r="F1089" s="161">
        <v>0</v>
      </c>
      <c r="G1089" s="145">
        <v>0</v>
      </c>
      <c r="H1089" s="161">
        <v>1</v>
      </c>
      <c r="I1089" s="145">
        <v>0</v>
      </c>
      <c r="J1089" s="123">
        <v>0</v>
      </c>
      <c r="K1089" s="124">
        <v>1</v>
      </c>
      <c r="L1089" s="123">
        <v>0</v>
      </c>
      <c r="M1089" s="124">
        <v>0</v>
      </c>
      <c r="N1089" s="123">
        <v>1</v>
      </c>
      <c r="O1089" s="307">
        <v>0</v>
      </c>
    </row>
    <row r="1090" spans="1:15" ht="12.75">
      <c r="A1090" s="269">
        <v>153</v>
      </c>
      <c r="B1090" s="123">
        <v>749</v>
      </c>
      <c r="C1090" s="124">
        <v>1</v>
      </c>
      <c r="D1090" s="123">
        <v>54</v>
      </c>
      <c r="E1090" s="147">
        <v>3.551</v>
      </c>
      <c r="F1090" s="161">
        <v>0</v>
      </c>
      <c r="G1090" s="145">
        <v>0</v>
      </c>
      <c r="H1090" s="161">
        <v>1</v>
      </c>
      <c r="I1090" s="145">
        <v>0</v>
      </c>
      <c r="J1090" s="123">
        <v>0</v>
      </c>
      <c r="K1090" s="124">
        <v>1</v>
      </c>
      <c r="L1090" s="123">
        <v>0</v>
      </c>
      <c r="M1090" s="124">
        <v>0</v>
      </c>
      <c r="N1090" s="123">
        <v>1</v>
      </c>
      <c r="O1090" s="307">
        <v>0</v>
      </c>
    </row>
    <row r="1091" spans="1:15" ht="12.75">
      <c r="A1091" s="269">
        <v>156</v>
      </c>
      <c r="B1091" s="123">
        <v>3480</v>
      </c>
      <c r="C1091" s="124">
        <v>1</v>
      </c>
      <c r="D1091" s="123">
        <v>54</v>
      </c>
      <c r="E1091" s="147">
        <v>3.617</v>
      </c>
      <c r="F1091" s="161">
        <v>0</v>
      </c>
      <c r="G1091" s="145">
        <v>0</v>
      </c>
      <c r="H1091" s="161">
        <v>1</v>
      </c>
      <c r="I1091" s="145">
        <v>0</v>
      </c>
      <c r="J1091" s="123">
        <v>0</v>
      </c>
      <c r="K1091" s="124">
        <v>1</v>
      </c>
      <c r="L1091" s="123">
        <v>0</v>
      </c>
      <c r="M1091" s="124">
        <v>0</v>
      </c>
      <c r="N1091" s="123">
        <v>1</v>
      </c>
      <c r="O1091" s="307">
        <v>0</v>
      </c>
    </row>
    <row r="1092" spans="1:15" ht="12.75">
      <c r="A1092" s="269">
        <v>163</v>
      </c>
      <c r="B1092" s="123">
        <v>2219</v>
      </c>
      <c r="C1092" s="124">
        <v>0</v>
      </c>
      <c r="D1092" s="123">
        <v>53</v>
      </c>
      <c r="E1092" s="147">
        <v>3.419</v>
      </c>
      <c r="F1092" s="161">
        <v>0</v>
      </c>
      <c r="G1092" s="145">
        <v>0</v>
      </c>
      <c r="H1092" s="161">
        <v>1</v>
      </c>
      <c r="I1092" s="145">
        <v>0</v>
      </c>
      <c r="J1092" s="123">
        <v>0</v>
      </c>
      <c r="K1092" s="124">
        <v>1</v>
      </c>
      <c r="L1092" s="123">
        <v>0</v>
      </c>
      <c r="M1092" s="124">
        <v>0</v>
      </c>
      <c r="N1092" s="123">
        <v>1</v>
      </c>
      <c r="O1092" s="307">
        <v>0</v>
      </c>
    </row>
    <row r="1093" spans="1:15" ht="12.75">
      <c r="A1093" s="269">
        <v>171</v>
      </c>
      <c r="B1093" s="123">
        <v>639</v>
      </c>
      <c r="C1093" s="124">
        <v>1</v>
      </c>
      <c r="D1093" s="123">
        <v>56</v>
      </c>
      <c r="E1093" s="147">
        <v>3.601</v>
      </c>
      <c r="F1093" s="161">
        <v>0</v>
      </c>
      <c r="G1093" s="145">
        <v>0</v>
      </c>
      <c r="H1093" s="161">
        <v>1</v>
      </c>
      <c r="I1093" s="145">
        <v>0</v>
      </c>
      <c r="J1093" s="123">
        <v>0</v>
      </c>
      <c r="K1093" s="124">
        <v>1</v>
      </c>
      <c r="L1093" s="123">
        <v>0</v>
      </c>
      <c r="M1093" s="124">
        <v>0</v>
      </c>
      <c r="N1093" s="123">
        <v>1</v>
      </c>
      <c r="O1093" s="307">
        <v>0</v>
      </c>
    </row>
    <row r="1094" spans="1:15" ht="12.75">
      <c r="A1094" s="269">
        <v>172</v>
      </c>
      <c r="B1094" s="123">
        <v>4491</v>
      </c>
      <c r="C1094" s="124">
        <v>1</v>
      </c>
      <c r="D1094" s="123">
        <v>53</v>
      </c>
      <c r="E1094" s="147">
        <v>2.938</v>
      </c>
      <c r="F1094" s="161">
        <v>0</v>
      </c>
      <c r="G1094" s="145">
        <v>0</v>
      </c>
      <c r="H1094" s="161">
        <v>1</v>
      </c>
      <c r="I1094" s="145">
        <v>0</v>
      </c>
      <c r="J1094" s="123">
        <v>0</v>
      </c>
      <c r="K1094" s="124">
        <v>1</v>
      </c>
      <c r="L1094" s="123">
        <v>0</v>
      </c>
      <c r="M1094" s="124">
        <v>1</v>
      </c>
      <c r="N1094" s="123">
        <v>0</v>
      </c>
      <c r="O1094" s="307">
        <v>0</v>
      </c>
    </row>
    <row r="1095" spans="1:15" ht="12.75">
      <c r="A1095" s="269">
        <v>178</v>
      </c>
      <c r="B1095" s="123">
        <v>2893</v>
      </c>
      <c r="C1095" s="124">
        <v>1</v>
      </c>
      <c r="D1095" s="123">
        <v>53</v>
      </c>
      <c r="E1095" s="147">
        <v>3.478</v>
      </c>
      <c r="F1095" s="161">
        <v>0</v>
      </c>
      <c r="G1095" s="145">
        <v>0</v>
      </c>
      <c r="H1095" s="161">
        <v>1</v>
      </c>
      <c r="I1095" s="145">
        <v>0</v>
      </c>
      <c r="J1095" s="123">
        <v>0</v>
      </c>
      <c r="K1095" s="124">
        <v>1</v>
      </c>
      <c r="L1095" s="123">
        <v>0</v>
      </c>
      <c r="M1095" s="124">
        <v>0</v>
      </c>
      <c r="N1095" s="123">
        <v>1</v>
      </c>
      <c r="O1095" s="307">
        <v>0</v>
      </c>
    </row>
    <row r="1096" spans="1:15" ht="12.75">
      <c r="A1096" s="269">
        <v>182</v>
      </c>
      <c r="B1096" s="123">
        <v>978</v>
      </c>
      <c r="C1096" s="124">
        <v>0</v>
      </c>
      <c r="D1096" s="123">
        <v>54</v>
      </c>
      <c r="E1096" s="147">
        <v>3.632</v>
      </c>
      <c r="F1096" s="161">
        <v>0</v>
      </c>
      <c r="G1096" s="145">
        <v>0</v>
      </c>
      <c r="H1096" s="161">
        <v>1</v>
      </c>
      <c r="I1096" s="145">
        <v>0</v>
      </c>
      <c r="J1096" s="123">
        <v>0</v>
      </c>
      <c r="K1096" s="124">
        <v>1</v>
      </c>
      <c r="L1096" s="123">
        <v>0</v>
      </c>
      <c r="M1096" s="124">
        <v>0</v>
      </c>
      <c r="N1096" s="123">
        <v>1</v>
      </c>
      <c r="O1096" s="307">
        <v>0</v>
      </c>
    </row>
    <row r="1097" spans="1:15" ht="12.75">
      <c r="A1097" s="269">
        <v>188</v>
      </c>
      <c r="B1097" s="123">
        <v>486</v>
      </c>
      <c r="C1097" s="124">
        <v>0</v>
      </c>
      <c r="D1097" s="123">
        <v>55</v>
      </c>
      <c r="E1097" s="147">
        <v>3.836</v>
      </c>
      <c r="F1097" s="161">
        <v>0</v>
      </c>
      <c r="G1097" s="145">
        <v>0</v>
      </c>
      <c r="H1097" s="161">
        <v>1</v>
      </c>
      <c r="I1097" s="145">
        <v>0</v>
      </c>
      <c r="J1097" s="123">
        <v>0</v>
      </c>
      <c r="K1097" s="124">
        <v>1</v>
      </c>
      <c r="L1097" s="123">
        <v>0</v>
      </c>
      <c r="M1097" s="124">
        <v>0</v>
      </c>
      <c r="N1097" s="123">
        <v>1</v>
      </c>
      <c r="O1097" s="307">
        <v>0</v>
      </c>
    </row>
    <row r="1098" spans="1:15" ht="12.75">
      <c r="A1098" s="269">
        <v>201</v>
      </c>
      <c r="B1098" s="123">
        <v>1807</v>
      </c>
      <c r="C1098" s="124">
        <v>1</v>
      </c>
      <c r="D1098" s="123">
        <v>56</v>
      </c>
      <c r="E1098" s="147">
        <v>3.656</v>
      </c>
      <c r="F1098" s="161">
        <v>0</v>
      </c>
      <c r="G1098" s="145">
        <v>0</v>
      </c>
      <c r="H1098" s="161">
        <v>1</v>
      </c>
      <c r="I1098" s="145">
        <v>0</v>
      </c>
      <c r="J1098" s="123">
        <v>0</v>
      </c>
      <c r="K1098" s="124">
        <v>1</v>
      </c>
      <c r="L1098" s="123">
        <v>0</v>
      </c>
      <c r="M1098" s="124">
        <v>0</v>
      </c>
      <c r="N1098" s="123">
        <v>1</v>
      </c>
      <c r="O1098" s="307">
        <v>0</v>
      </c>
    </row>
    <row r="1099" spans="1:15" ht="12.75">
      <c r="A1099" s="269">
        <v>202</v>
      </c>
      <c r="B1099" s="123">
        <v>4020</v>
      </c>
      <c r="C1099" s="124">
        <v>1</v>
      </c>
      <c r="D1099" s="123">
        <v>52</v>
      </c>
      <c r="E1099" s="147">
        <v>3.479</v>
      </c>
      <c r="F1099" s="161">
        <v>0</v>
      </c>
      <c r="G1099" s="145">
        <v>0</v>
      </c>
      <c r="H1099" s="161">
        <v>1</v>
      </c>
      <c r="I1099" s="145">
        <v>0</v>
      </c>
      <c r="J1099" s="123">
        <v>0</v>
      </c>
      <c r="K1099" s="124">
        <v>1</v>
      </c>
      <c r="L1099" s="123">
        <v>0</v>
      </c>
      <c r="M1099" s="124">
        <v>0</v>
      </c>
      <c r="N1099" s="123">
        <v>1</v>
      </c>
      <c r="O1099" s="307">
        <v>0</v>
      </c>
    </row>
    <row r="1100" spans="1:15" ht="12.75">
      <c r="A1100" s="269">
        <v>208</v>
      </c>
      <c r="B1100" s="123">
        <v>2567</v>
      </c>
      <c r="C1100" s="124">
        <v>0</v>
      </c>
      <c r="D1100" s="123">
        <v>51</v>
      </c>
      <c r="E1100" s="147">
        <v>3.539</v>
      </c>
      <c r="F1100" s="161">
        <v>0</v>
      </c>
      <c r="G1100" s="145">
        <v>0</v>
      </c>
      <c r="H1100" s="161">
        <v>1</v>
      </c>
      <c r="I1100" s="145">
        <v>0</v>
      </c>
      <c r="J1100" s="123">
        <v>0</v>
      </c>
      <c r="K1100" s="124">
        <v>1</v>
      </c>
      <c r="L1100" s="123">
        <v>0</v>
      </c>
      <c r="M1100" s="124">
        <v>0</v>
      </c>
      <c r="N1100" s="123">
        <v>1</v>
      </c>
      <c r="O1100" s="307">
        <v>0</v>
      </c>
    </row>
    <row r="1101" spans="1:15" ht="12.75">
      <c r="A1101" s="269">
        <v>209</v>
      </c>
      <c r="B1101" s="123">
        <v>3256</v>
      </c>
      <c r="C1101" s="124">
        <v>1</v>
      </c>
      <c r="D1101" s="123">
        <v>55</v>
      </c>
      <c r="E1101" s="147">
        <v>3.581</v>
      </c>
      <c r="F1101" s="161">
        <v>0</v>
      </c>
      <c r="G1101" s="145">
        <v>0</v>
      </c>
      <c r="H1101" s="161">
        <v>1</v>
      </c>
      <c r="I1101" s="145">
        <v>0</v>
      </c>
      <c r="J1101" s="123">
        <v>0</v>
      </c>
      <c r="K1101" s="124">
        <v>1</v>
      </c>
      <c r="L1101" s="123">
        <v>0</v>
      </c>
      <c r="M1101" s="124">
        <v>0</v>
      </c>
      <c r="N1101" s="123">
        <v>1</v>
      </c>
      <c r="O1101" s="307">
        <v>0</v>
      </c>
    </row>
    <row r="1102" spans="1:15" ht="12.75">
      <c r="A1102" s="269">
        <v>215</v>
      </c>
      <c r="B1102" s="123">
        <v>3740</v>
      </c>
      <c r="C1102" s="124">
        <v>0</v>
      </c>
      <c r="D1102" s="123">
        <v>54</v>
      </c>
      <c r="E1102" s="147">
        <v>3.47</v>
      </c>
      <c r="F1102" s="161">
        <v>0</v>
      </c>
      <c r="G1102" s="145">
        <v>0</v>
      </c>
      <c r="H1102" s="161">
        <v>1</v>
      </c>
      <c r="I1102" s="145">
        <v>0</v>
      </c>
      <c r="J1102" s="123">
        <v>0</v>
      </c>
      <c r="K1102" s="124">
        <v>1</v>
      </c>
      <c r="L1102" s="123">
        <v>0</v>
      </c>
      <c r="M1102" s="124">
        <v>0</v>
      </c>
      <c r="N1102" s="123">
        <v>1</v>
      </c>
      <c r="O1102" s="307">
        <v>0</v>
      </c>
    </row>
    <row r="1103" spans="1:15" ht="12.75">
      <c r="A1103" s="269">
        <v>222</v>
      </c>
      <c r="B1103" s="123">
        <v>1788</v>
      </c>
      <c r="C1103" s="124">
        <v>0</v>
      </c>
      <c r="D1103" s="123">
        <v>51</v>
      </c>
      <c r="E1103" s="147">
        <v>3.554</v>
      </c>
      <c r="F1103" s="161">
        <v>0</v>
      </c>
      <c r="G1103" s="145">
        <v>0</v>
      </c>
      <c r="H1103" s="161">
        <v>1</v>
      </c>
      <c r="I1103" s="145">
        <v>0</v>
      </c>
      <c r="J1103" s="123">
        <v>0</v>
      </c>
      <c r="K1103" s="124">
        <v>1</v>
      </c>
      <c r="L1103" s="123">
        <v>0</v>
      </c>
      <c r="M1103" s="124">
        <v>1</v>
      </c>
      <c r="N1103" s="123">
        <v>0</v>
      </c>
      <c r="O1103" s="307">
        <v>0</v>
      </c>
    </row>
    <row r="1104" spans="1:15" ht="12.75">
      <c r="A1104" s="269">
        <v>223</v>
      </c>
      <c r="B1104" s="123">
        <v>4153</v>
      </c>
      <c r="C1104" s="124">
        <v>1</v>
      </c>
      <c r="D1104" s="123">
        <v>50</v>
      </c>
      <c r="E1104" s="147">
        <v>3.736</v>
      </c>
      <c r="F1104" s="161">
        <v>0</v>
      </c>
      <c r="G1104" s="145">
        <v>0</v>
      </c>
      <c r="H1104" s="161">
        <v>1</v>
      </c>
      <c r="I1104" s="145">
        <v>0</v>
      </c>
      <c r="J1104" s="123">
        <v>0</v>
      </c>
      <c r="K1104" s="124">
        <v>1</v>
      </c>
      <c r="L1104" s="123">
        <v>0</v>
      </c>
      <c r="M1104" s="124">
        <v>1</v>
      </c>
      <c r="N1104" s="123">
        <v>0</v>
      </c>
      <c r="O1104" s="307">
        <v>0</v>
      </c>
    </row>
    <row r="1105" spans="1:15" ht="12.75">
      <c r="A1105" s="269">
        <v>231</v>
      </c>
      <c r="B1105" s="123">
        <v>529</v>
      </c>
      <c r="C1105" s="124">
        <v>1</v>
      </c>
      <c r="D1105" s="123">
        <v>53</v>
      </c>
      <c r="E1105" s="147">
        <v>3.74</v>
      </c>
      <c r="F1105" s="161">
        <v>0</v>
      </c>
      <c r="G1105" s="145">
        <v>0</v>
      </c>
      <c r="H1105" s="161">
        <v>1</v>
      </c>
      <c r="I1105" s="145">
        <v>0</v>
      </c>
      <c r="J1105" s="123">
        <v>0</v>
      </c>
      <c r="K1105" s="124">
        <v>1</v>
      </c>
      <c r="L1105" s="123">
        <v>0</v>
      </c>
      <c r="M1105" s="124">
        <v>0</v>
      </c>
      <c r="N1105" s="123">
        <v>1</v>
      </c>
      <c r="O1105" s="307">
        <v>0</v>
      </c>
    </row>
    <row r="1106" spans="1:15" ht="12.75">
      <c r="A1106" s="269">
        <v>234</v>
      </c>
      <c r="B1106" s="123">
        <v>2187</v>
      </c>
      <c r="C1106" s="124">
        <v>1</v>
      </c>
      <c r="D1106" s="123">
        <v>54</v>
      </c>
      <c r="E1106" s="147">
        <v>3.591</v>
      </c>
      <c r="F1106" s="161">
        <v>0</v>
      </c>
      <c r="G1106" s="145">
        <v>0</v>
      </c>
      <c r="H1106" s="161">
        <v>1</v>
      </c>
      <c r="I1106" s="145">
        <v>0</v>
      </c>
      <c r="J1106" s="123">
        <v>0</v>
      </c>
      <c r="K1106" s="124">
        <v>1</v>
      </c>
      <c r="L1106" s="123">
        <v>0</v>
      </c>
      <c r="M1106" s="124">
        <v>0</v>
      </c>
      <c r="N1106" s="123">
        <v>1</v>
      </c>
      <c r="O1106" s="307">
        <v>0</v>
      </c>
    </row>
    <row r="1107" spans="1:15" ht="12.75">
      <c r="A1107" s="269">
        <v>242</v>
      </c>
      <c r="B1107" s="123">
        <v>3550</v>
      </c>
      <c r="C1107" s="124">
        <v>1</v>
      </c>
      <c r="D1107" s="123">
        <v>51</v>
      </c>
      <c r="E1107" s="147">
        <v>4.446</v>
      </c>
      <c r="F1107" s="161">
        <v>0</v>
      </c>
      <c r="G1107" s="145">
        <v>0</v>
      </c>
      <c r="H1107" s="161">
        <v>1</v>
      </c>
      <c r="I1107" s="145">
        <v>0</v>
      </c>
      <c r="J1107" s="123">
        <v>0</v>
      </c>
      <c r="K1107" s="124">
        <v>1</v>
      </c>
      <c r="L1107" s="123">
        <v>0</v>
      </c>
      <c r="M1107" s="124">
        <v>0</v>
      </c>
      <c r="N1107" s="123">
        <v>1</v>
      </c>
      <c r="O1107" s="307">
        <v>0</v>
      </c>
    </row>
    <row r="1108" spans="1:15" ht="12.75">
      <c r="A1108" s="269">
        <v>243</v>
      </c>
      <c r="B1108" s="123">
        <v>3312</v>
      </c>
      <c r="C1108" s="124">
        <v>1</v>
      </c>
      <c r="D1108" s="123">
        <v>50</v>
      </c>
      <c r="E1108" s="147">
        <v>3.724</v>
      </c>
      <c r="F1108" s="161">
        <v>0</v>
      </c>
      <c r="G1108" s="145">
        <v>0</v>
      </c>
      <c r="H1108" s="161">
        <v>1</v>
      </c>
      <c r="I1108" s="145">
        <v>0</v>
      </c>
      <c r="J1108" s="123">
        <v>0</v>
      </c>
      <c r="K1108" s="124">
        <v>1</v>
      </c>
      <c r="L1108" s="123">
        <v>0</v>
      </c>
      <c r="M1108" s="124">
        <v>0</v>
      </c>
      <c r="N1108" s="123">
        <v>1</v>
      </c>
      <c r="O1108" s="307">
        <v>0</v>
      </c>
    </row>
    <row r="1109" spans="1:15" ht="12.75">
      <c r="A1109" s="269">
        <v>251</v>
      </c>
      <c r="B1109" s="123">
        <v>731</v>
      </c>
      <c r="C1109" s="124">
        <v>0</v>
      </c>
      <c r="D1109" s="123">
        <v>54</v>
      </c>
      <c r="E1109" s="147">
        <v>3.701</v>
      </c>
      <c r="F1109" s="161">
        <v>0</v>
      </c>
      <c r="G1109" s="145">
        <v>0</v>
      </c>
      <c r="H1109" s="161">
        <v>1</v>
      </c>
      <c r="I1109" s="145">
        <v>0</v>
      </c>
      <c r="J1109" s="123">
        <v>0</v>
      </c>
      <c r="K1109" s="124">
        <v>1</v>
      </c>
      <c r="L1109" s="123">
        <v>0</v>
      </c>
      <c r="M1109" s="124">
        <v>0</v>
      </c>
      <c r="N1109" s="123">
        <v>1</v>
      </c>
      <c r="O1109" s="307">
        <v>0</v>
      </c>
    </row>
    <row r="1110" spans="1:15" ht="12.75">
      <c r="A1110" s="269">
        <v>256</v>
      </c>
      <c r="B1110" s="123">
        <v>3462</v>
      </c>
      <c r="C1110" s="124">
        <v>1</v>
      </c>
      <c r="D1110" s="123">
        <v>56</v>
      </c>
      <c r="E1110" s="147">
        <v>3.808</v>
      </c>
      <c r="F1110" s="161">
        <v>0</v>
      </c>
      <c r="G1110" s="145">
        <v>0</v>
      </c>
      <c r="H1110" s="161">
        <v>1</v>
      </c>
      <c r="I1110" s="145">
        <v>0</v>
      </c>
      <c r="J1110" s="123">
        <v>0</v>
      </c>
      <c r="K1110" s="124">
        <v>1</v>
      </c>
      <c r="L1110" s="123">
        <v>0</v>
      </c>
      <c r="M1110" s="124">
        <v>0</v>
      </c>
      <c r="N1110" s="123">
        <v>1</v>
      </c>
      <c r="O1110" s="307">
        <v>0</v>
      </c>
    </row>
    <row r="1111" spans="1:15" ht="12.75">
      <c r="A1111" s="269">
        <v>258</v>
      </c>
      <c r="B1111" s="123">
        <v>3433</v>
      </c>
      <c r="C1111" s="124">
        <v>0</v>
      </c>
      <c r="D1111" s="123">
        <v>55</v>
      </c>
      <c r="E1111" s="147">
        <v>3.676</v>
      </c>
      <c r="F1111" s="161">
        <v>0</v>
      </c>
      <c r="G1111" s="145">
        <v>0</v>
      </c>
      <c r="H1111" s="161">
        <v>1</v>
      </c>
      <c r="I1111" s="145">
        <v>0</v>
      </c>
      <c r="J1111" s="123">
        <v>0</v>
      </c>
      <c r="K1111" s="124">
        <v>1</v>
      </c>
      <c r="L1111" s="123">
        <v>0</v>
      </c>
      <c r="M1111" s="124">
        <v>0</v>
      </c>
      <c r="N1111" s="123">
        <v>1</v>
      </c>
      <c r="O1111" s="307">
        <v>0</v>
      </c>
    </row>
    <row r="1112" spans="1:15" ht="12.75">
      <c r="A1112" s="269">
        <v>260</v>
      </c>
      <c r="B1112" s="123">
        <v>880</v>
      </c>
      <c r="C1112" s="124">
        <v>1</v>
      </c>
      <c r="D1112" s="123">
        <v>51</v>
      </c>
      <c r="E1112" s="147">
        <v>3.81</v>
      </c>
      <c r="F1112" s="161">
        <v>0</v>
      </c>
      <c r="G1112" s="145">
        <v>0</v>
      </c>
      <c r="H1112" s="161">
        <v>1</v>
      </c>
      <c r="I1112" s="145">
        <v>0</v>
      </c>
      <c r="J1112" s="123">
        <v>0</v>
      </c>
      <c r="K1112" s="124">
        <v>1</v>
      </c>
      <c r="L1112" s="123">
        <v>0</v>
      </c>
      <c r="M1112" s="124">
        <v>1</v>
      </c>
      <c r="N1112" s="123">
        <v>0</v>
      </c>
      <c r="O1112" s="307">
        <v>0</v>
      </c>
    </row>
    <row r="1113" spans="1:15" ht="12.75">
      <c r="A1113" s="269">
        <v>261</v>
      </c>
      <c r="B1113" s="123">
        <v>1293</v>
      </c>
      <c r="C1113" s="124">
        <v>0</v>
      </c>
      <c r="D1113" s="123">
        <v>54</v>
      </c>
      <c r="E1113" s="147">
        <v>3.37</v>
      </c>
      <c r="F1113" s="161">
        <v>0</v>
      </c>
      <c r="G1113" s="145">
        <v>0</v>
      </c>
      <c r="H1113" s="161">
        <v>1</v>
      </c>
      <c r="I1113" s="145">
        <v>0</v>
      </c>
      <c r="J1113" s="123">
        <v>0</v>
      </c>
      <c r="K1113" s="124">
        <v>1</v>
      </c>
      <c r="L1113" s="123">
        <v>0</v>
      </c>
      <c r="M1113" s="124">
        <v>0</v>
      </c>
      <c r="N1113" s="123">
        <v>0</v>
      </c>
      <c r="O1113" s="307">
        <v>1</v>
      </c>
    </row>
    <row r="1114" spans="1:15" ht="12.75">
      <c r="A1114" s="269">
        <v>262</v>
      </c>
      <c r="B1114" s="123">
        <v>1049</v>
      </c>
      <c r="C1114" s="124">
        <v>1</v>
      </c>
      <c r="D1114" s="123">
        <v>54</v>
      </c>
      <c r="E1114" s="147">
        <v>3.511</v>
      </c>
      <c r="F1114" s="161">
        <v>0</v>
      </c>
      <c r="G1114" s="145">
        <v>0</v>
      </c>
      <c r="H1114" s="161">
        <v>1</v>
      </c>
      <c r="I1114" s="145">
        <v>0</v>
      </c>
      <c r="J1114" s="123">
        <v>0</v>
      </c>
      <c r="K1114" s="124">
        <v>1</v>
      </c>
      <c r="L1114" s="123">
        <v>0</v>
      </c>
      <c r="M1114" s="124">
        <v>1</v>
      </c>
      <c r="N1114" s="123">
        <v>0</v>
      </c>
      <c r="O1114" s="307">
        <v>0</v>
      </c>
    </row>
    <row r="1115" spans="1:12" s="15" customFormat="1" ht="12.75">
      <c r="A1115" s="249"/>
      <c r="B1115" s="124"/>
      <c r="C1115" s="124"/>
      <c r="D1115" s="124"/>
      <c r="E1115" s="147"/>
      <c r="F1115" s="145"/>
      <c r="G1115" s="145"/>
      <c r="H1115" s="145"/>
      <c r="I1115" s="145"/>
      <c r="J1115" s="124"/>
      <c r="K1115" s="124">
        <f>SUM(K1056:K1114)</f>
        <v>59</v>
      </c>
      <c r="L1115" s="124"/>
    </row>
    <row r="1116" spans="1:15" ht="12.75">
      <c r="A1116" s="269">
        <v>13</v>
      </c>
      <c r="B1116" s="123">
        <v>3710</v>
      </c>
      <c r="C1116" s="124">
        <v>1</v>
      </c>
      <c r="D1116" s="123">
        <v>52</v>
      </c>
      <c r="E1116" s="147">
        <v>3.586</v>
      </c>
      <c r="F1116" s="161">
        <v>0</v>
      </c>
      <c r="G1116" s="145">
        <v>0</v>
      </c>
      <c r="H1116" s="161">
        <v>1</v>
      </c>
      <c r="I1116" s="145">
        <v>0</v>
      </c>
      <c r="J1116" s="123">
        <v>0</v>
      </c>
      <c r="K1116" s="124">
        <v>0</v>
      </c>
      <c r="L1116" s="123">
        <v>1</v>
      </c>
      <c r="M1116" s="124">
        <v>0</v>
      </c>
      <c r="N1116" s="123">
        <v>1</v>
      </c>
      <c r="O1116" s="307">
        <v>0</v>
      </c>
    </row>
    <row r="1117" spans="1:15" ht="12.75">
      <c r="A1117" s="269">
        <v>43</v>
      </c>
      <c r="B1117" s="123">
        <v>2278</v>
      </c>
      <c r="C1117" s="124">
        <v>1</v>
      </c>
      <c r="D1117" s="123">
        <v>55</v>
      </c>
      <c r="E1117" s="147">
        <v>3.654</v>
      </c>
      <c r="F1117" s="161">
        <v>0</v>
      </c>
      <c r="G1117" s="145">
        <v>0</v>
      </c>
      <c r="H1117" s="161">
        <v>1</v>
      </c>
      <c r="I1117" s="145">
        <v>0</v>
      </c>
      <c r="J1117" s="123">
        <v>0</v>
      </c>
      <c r="K1117" s="124">
        <v>0</v>
      </c>
      <c r="L1117" s="123">
        <v>1</v>
      </c>
      <c r="M1117" s="124">
        <v>0</v>
      </c>
      <c r="N1117" s="123">
        <v>0</v>
      </c>
      <c r="O1117" s="307">
        <v>1</v>
      </c>
    </row>
    <row r="1118" spans="1:15" ht="12.75">
      <c r="A1118" s="269">
        <v>73</v>
      </c>
      <c r="B1118" s="123">
        <v>1131</v>
      </c>
      <c r="C1118" s="124">
        <v>0</v>
      </c>
      <c r="D1118" s="123">
        <v>54</v>
      </c>
      <c r="E1118" s="147">
        <v>3.692</v>
      </c>
      <c r="F1118" s="161">
        <v>0</v>
      </c>
      <c r="G1118" s="145">
        <v>0</v>
      </c>
      <c r="H1118" s="161">
        <v>1</v>
      </c>
      <c r="I1118" s="145">
        <v>0</v>
      </c>
      <c r="J1118" s="123">
        <v>0</v>
      </c>
      <c r="K1118" s="124">
        <v>0</v>
      </c>
      <c r="L1118" s="123">
        <v>1</v>
      </c>
      <c r="M1118" s="124">
        <v>0</v>
      </c>
      <c r="N1118" s="123">
        <v>1</v>
      </c>
      <c r="O1118" s="307">
        <v>0</v>
      </c>
    </row>
    <row r="1119" spans="1:15" ht="12.75">
      <c r="A1119" s="269">
        <v>103</v>
      </c>
      <c r="B1119" s="123">
        <v>1173</v>
      </c>
      <c r="C1119" s="124">
        <v>0</v>
      </c>
      <c r="D1119" s="123">
        <v>53</v>
      </c>
      <c r="E1119" s="147">
        <v>3.579</v>
      </c>
      <c r="F1119" s="161">
        <v>0</v>
      </c>
      <c r="G1119" s="145">
        <v>0</v>
      </c>
      <c r="H1119" s="161">
        <v>1</v>
      </c>
      <c r="I1119" s="145">
        <v>0</v>
      </c>
      <c r="J1119" s="123">
        <v>0</v>
      </c>
      <c r="K1119" s="124">
        <v>0</v>
      </c>
      <c r="L1119" s="123">
        <v>1</v>
      </c>
      <c r="M1119" s="124">
        <v>0</v>
      </c>
      <c r="N1119" s="123">
        <v>0</v>
      </c>
      <c r="O1119" s="307">
        <v>1</v>
      </c>
    </row>
    <row r="1120" spans="1:15" ht="12.75">
      <c r="A1120" s="269">
        <v>132</v>
      </c>
      <c r="B1120" s="123">
        <v>3972</v>
      </c>
      <c r="C1120" s="124">
        <v>0</v>
      </c>
      <c r="D1120" s="123">
        <v>54</v>
      </c>
      <c r="E1120" s="147">
        <v>3.713</v>
      </c>
      <c r="F1120" s="161">
        <v>0</v>
      </c>
      <c r="G1120" s="145">
        <v>0</v>
      </c>
      <c r="H1120" s="161">
        <v>1</v>
      </c>
      <c r="I1120" s="145">
        <v>0</v>
      </c>
      <c r="J1120" s="123">
        <v>0</v>
      </c>
      <c r="K1120" s="124">
        <v>0</v>
      </c>
      <c r="L1120" s="123">
        <v>1</v>
      </c>
      <c r="M1120" s="124">
        <v>0</v>
      </c>
      <c r="N1120" s="123">
        <v>1</v>
      </c>
      <c r="O1120" s="307">
        <v>0</v>
      </c>
    </row>
    <row r="1121" spans="1:15" ht="12.75">
      <c r="A1121" s="269">
        <v>144</v>
      </c>
      <c r="B1121" s="123">
        <v>1104</v>
      </c>
      <c r="C1121" s="124">
        <v>0</v>
      </c>
      <c r="D1121" s="123">
        <v>53</v>
      </c>
      <c r="E1121" s="147">
        <v>3.83</v>
      </c>
      <c r="F1121" s="161">
        <v>0</v>
      </c>
      <c r="G1121" s="145">
        <v>0</v>
      </c>
      <c r="H1121" s="161">
        <v>1</v>
      </c>
      <c r="I1121" s="145">
        <v>0</v>
      </c>
      <c r="J1121" s="123">
        <v>0</v>
      </c>
      <c r="K1121" s="124">
        <v>0</v>
      </c>
      <c r="L1121" s="123">
        <v>1</v>
      </c>
      <c r="M1121" s="124">
        <v>0</v>
      </c>
      <c r="N1121" s="123">
        <v>1</v>
      </c>
      <c r="O1121" s="307">
        <v>0</v>
      </c>
    </row>
    <row r="1122" spans="1:15" ht="12.75">
      <c r="A1122" s="269">
        <v>154</v>
      </c>
      <c r="B1122" s="123">
        <v>3079</v>
      </c>
      <c r="C1122" s="124">
        <v>0</v>
      </c>
      <c r="D1122" s="123">
        <v>53</v>
      </c>
      <c r="E1122" s="147">
        <v>3.527</v>
      </c>
      <c r="F1122" s="161">
        <v>0</v>
      </c>
      <c r="G1122" s="145">
        <v>0</v>
      </c>
      <c r="H1122" s="161">
        <v>1</v>
      </c>
      <c r="I1122" s="145">
        <v>0</v>
      </c>
      <c r="J1122" s="123">
        <v>0</v>
      </c>
      <c r="K1122" s="124">
        <v>0</v>
      </c>
      <c r="L1122" s="123">
        <v>1</v>
      </c>
      <c r="M1122" s="124">
        <v>0</v>
      </c>
      <c r="N1122" s="123">
        <v>1</v>
      </c>
      <c r="O1122" s="307">
        <v>0</v>
      </c>
    </row>
    <row r="1123" spans="1:15" ht="12.75">
      <c r="A1123" s="269">
        <v>164</v>
      </c>
      <c r="B1123" s="123">
        <v>1176</v>
      </c>
      <c r="C1123" s="124">
        <v>1</v>
      </c>
      <c r="D1123" s="123">
        <v>53</v>
      </c>
      <c r="E1123" s="147">
        <v>3.724</v>
      </c>
      <c r="F1123" s="161">
        <v>0</v>
      </c>
      <c r="G1123" s="145">
        <v>0</v>
      </c>
      <c r="H1123" s="161">
        <v>1</v>
      </c>
      <c r="I1123" s="145">
        <v>0</v>
      </c>
      <c r="J1123" s="123">
        <v>0</v>
      </c>
      <c r="K1123" s="124">
        <v>0</v>
      </c>
      <c r="L1123" s="123">
        <v>1</v>
      </c>
      <c r="M1123" s="124">
        <v>0</v>
      </c>
      <c r="N1123" s="123">
        <v>1</v>
      </c>
      <c r="O1123" s="307">
        <v>0</v>
      </c>
    </row>
    <row r="1124" spans="1:15" ht="12.75">
      <c r="A1124" s="269">
        <v>217</v>
      </c>
      <c r="B1124" s="123">
        <v>1493</v>
      </c>
      <c r="C1124" s="124">
        <v>1</v>
      </c>
      <c r="D1124" s="123">
        <v>55</v>
      </c>
      <c r="E1124" s="147">
        <v>3.37</v>
      </c>
      <c r="F1124" s="161">
        <v>0</v>
      </c>
      <c r="G1124" s="145">
        <v>0</v>
      </c>
      <c r="H1124" s="161">
        <v>1</v>
      </c>
      <c r="I1124" s="145">
        <v>0</v>
      </c>
      <c r="J1124" s="123">
        <v>0</v>
      </c>
      <c r="K1124" s="124">
        <v>0</v>
      </c>
      <c r="L1124" s="123">
        <v>1</v>
      </c>
      <c r="M1124" s="124">
        <v>0</v>
      </c>
      <c r="N1124" s="123">
        <v>0</v>
      </c>
      <c r="O1124" s="307">
        <v>1</v>
      </c>
    </row>
    <row r="1125" spans="1:15" ht="12.75">
      <c r="A1125" s="269">
        <v>226</v>
      </c>
      <c r="B1125" s="123">
        <v>2880</v>
      </c>
      <c r="C1125" s="124">
        <v>1</v>
      </c>
      <c r="D1125" s="123">
        <v>53</v>
      </c>
      <c r="E1125" s="147">
        <v>3.756</v>
      </c>
      <c r="F1125" s="161">
        <v>0</v>
      </c>
      <c r="G1125" s="145">
        <v>0</v>
      </c>
      <c r="H1125" s="161">
        <v>1</v>
      </c>
      <c r="I1125" s="145">
        <v>0</v>
      </c>
      <c r="J1125" s="123">
        <v>0</v>
      </c>
      <c r="K1125" s="124">
        <v>0</v>
      </c>
      <c r="L1125" s="123">
        <v>1</v>
      </c>
      <c r="M1125" s="124">
        <v>0</v>
      </c>
      <c r="N1125" s="123">
        <v>1</v>
      </c>
      <c r="O1125" s="307">
        <v>0</v>
      </c>
    </row>
    <row r="1126" spans="1:15" ht="12.75">
      <c r="A1126" s="269">
        <v>236</v>
      </c>
      <c r="B1126" s="123">
        <v>3323</v>
      </c>
      <c r="C1126" s="124">
        <v>1</v>
      </c>
      <c r="D1126" s="123">
        <v>51</v>
      </c>
      <c r="E1126" s="147">
        <v>3.854</v>
      </c>
      <c r="F1126" s="161">
        <v>0</v>
      </c>
      <c r="G1126" s="145">
        <v>0</v>
      </c>
      <c r="H1126" s="161">
        <v>1</v>
      </c>
      <c r="I1126" s="145">
        <v>0</v>
      </c>
      <c r="J1126" s="123">
        <v>0</v>
      </c>
      <c r="K1126" s="124">
        <v>0</v>
      </c>
      <c r="L1126" s="123">
        <v>1</v>
      </c>
      <c r="M1126" s="124">
        <v>0</v>
      </c>
      <c r="N1126" s="123">
        <v>1</v>
      </c>
      <c r="O1126" s="307">
        <v>0</v>
      </c>
    </row>
    <row r="1127" spans="1:15" ht="12.75">
      <c r="A1127" s="269">
        <v>247</v>
      </c>
      <c r="B1127" s="123">
        <v>939</v>
      </c>
      <c r="C1127" s="124">
        <v>1</v>
      </c>
      <c r="D1127" s="123">
        <v>54</v>
      </c>
      <c r="E1127" s="147">
        <v>3.689</v>
      </c>
      <c r="F1127" s="161">
        <v>0</v>
      </c>
      <c r="G1127" s="145">
        <v>0</v>
      </c>
      <c r="H1127" s="161">
        <v>1</v>
      </c>
      <c r="I1127" s="145">
        <v>0</v>
      </c>
      <c r="J1127" s="123">
        <v>0</v>
      </c>
      <c r="K1127" s="124">
        <v>0</v>
      </c>
      <c r="L1127" s="123">
        <v>1</v>
      </c>
      <c r="M1127" s="124">
        <v>0</v>
      </c>
      <c r="N1127" s="123">
        <v>1</v>
      </c>
      <c r="O1127" s="307">
        <v>0</v>
      </c>
    </row>
    <row r="1128" spans="1:15" ht="12.75">
      <c r="A1128" s="270">
        <v>263</v>
      </c>
      <c r="B1128" s="129">
        <v>1774</v>
      </c>
      <c r="C1128" s="162">
        <v>0</v>
      </c>
      <c r="D1128" s="129">
        <v>54</v>
      </c>
      <c r="E1128" s="313">
        <v>3.548</v>
      </c>
      <c r="F1128" s="315">
        <v>0</v>
      </c>
      <c r="G1128" s="320">
        <v>0</v>
      </c>
      <c r="H1128" s="315">
        <v>1</v>
      </c>
      <c r="I1128" s="320">
        <v>0</v>
      </c>
      <c r="J1128" s="129">
        <v>0</v>
      </c>
      <c r="K1128" s="162">
        <v>0</v>
      </c>
      <c r="L1128" s="129">
        <v>1</v>
      </c>
      <c r="M1128" s="162">
        <v>0</v>
      </c>
      <c r="N1128" s="129">
        <v>0</v>
      </c>
      <c r="O1128" s="321">
        <v>1</v>
      </c>
    </row>
    <row r="1129" spans="1:12" s="15" customFormat="1" ht="12.75">
      <c r="A1129" s="249"/>
      <c r="B1129" s="124"/>
      <c r="C1129" s="124"/>
      <c r="D1129" s="124"/>
      <c r="E1129" s="147"/>
      <c r="F1129" s="145"/>
      <c r="G1129" s="145"/>
      <c r="H1129" s="145"/>
      <c r="I1129" s="145"/>
      <c r="J1129" s="124"/>
      <c r="K1129" s="124"/>
      <c r="L1129" s="124">
        <f>SUM(L1116:L1128)</f>
        <v>13</v>
      </c>
    </row>
    <row r="1130" spans="1:15" ht="13.5" thickBot="1">
      <c r="A1130" s="326" t="s">
        <v>1</v>
      </c>
      <c r="B1130" s="263" t="s">
        <v>2</v>
      </c>
      <c r="C1130" s="263" t="s">
        <v>9</v>
      </c>
      <c r="D1130" s="263" t="s">
        <v>10</v>
      </c>
      <c r="E1130" s="263" t="s">
        <v>11</v>
      </c>
      <c r="F1130" s="261" t="s">
        <v>12</v>
      </c>
      <c r="G1130" s="263" t="s">
        <v>13</v>
      </c>
      <c r="H1130" s="263" t="s">
        <v>14</v>
      </c>
      <c r="I1130" s="263" t="s">
        <v>15</v>
      </c>
      <c r="J1130" s="263" t="s">
        <v>16</v>
      </c>
      <c r="K1130" s="263" t="s">
        <v>17</v>
      </c>
      <c r="L1130" s="263" t="s">
        <v>18</v>
      </c>
      <c r="M1130" s="263" t="s">
        <v>19</v>
      </c>
      <c r="N1130" s="263" t="s">
        <v>20</v>
      </c>
      <c r="O1130" s="263" t="s">
        <v>21</v>
      </c>
    </row>
    <row r="1131" spans="1:15" ht="13.5" thickTop="1">
      <c r="A1131" s="269">
        <v>2</v>
      </c>
      <c r="B1131" s="123">
        <v>855</v>
      </c>
      <c r="C1131" s="124">
        <v>0</v>
      </c>
      <c r="D1131" s="123">
        <v>53</v>
      </c>
      <c r="E1131" s="147">
        <v>4.056</v>
      </c>
      <c r="F1131" s="161">
        <v>0</v>
      </c>
      <c r="G1131" s="145">
        <v>0</v>
      </c>
      <c r="H1131" s="161">
        <v>0</v>
      </c>
      <c r="I1131" s="145">
        <v>1</v>
      </c>
      <c r="J1131" s="123">
        <v>1</v>
      </c>
      <c r="K1131" s="124">
        <v>0</v>
      </c>
      <c r="L1131" s="123">
        <v>0</v>
      </c>
      <c r="M1131" s="124">
        <v>1</v>
      </c>
      <c r="N1131" s="123">
        <v>0</v>
      </c>
      <c r="O1131" s="307">
        <v>0</v>
      </c>
    </row>
    <row r="1132" spans="1:15" ht="12.75">
      <c r="A1132" s="269">
        <v>11</v>
      </c>
      <c r="B1132" s="123">
        <v>1390</v>
      </c>
      <c r="C1132" s="124">
        <v>1</v>
      </c>
      <c r="D1132" s="123">
        <v>53</v>
      </c>
      <c r="E1132" s="147">
        <v>3.999</v>
      </c>
      <c r="F1132" s="161">
        <v>0</v>
      </c>
      <c r="G1132" s="145">
        <v>0</v>
      </c>
      <c r="H1132" s="161">
        <v>0</v>
      </c>
      <c r="I1132" s="145">
        <v>1</v>
      </c>
      <c r="J1132" s="123">
        <v>1</v>
      </c>
      <c r="K1132" s="124">
        <v>0</v>
      </c>
      <c r="L1132" s="123">
        <v>0</v>
      </c>
      <c r="M1132" s="124">
        <v>1</v>
      </c>
      <c r="N1132" s="123">
        <v>0</v>
      </c>
      <c r="O1132" s="307">
        <v>0</v>
      </c>
    </row>
    <row r="1133" spans="1:15" ht="12.75">
      <c r="A1133" s="269">
        <v>117</v>
      </c>
      <c r="B1133" s="123">
        <v>4148</v>
      </c>
      <c r="C1133" s="124">
        <v>0</v>
      </c>
      <c r="D1133" s="123">
        <v>52</v>
      </c>
      <c r="E1133" s="147">
        <v>4.719</v>
      </c>
      <c r="F1133" s="161">
        <v>0</v>
      </c>
      <c r="G1133" s="145">
        <v>0</v>
      </c>
      <c r="H1133" s="161">
        <v>0</v>
      </c>
      <c r="I1133" s="145">
        <v>1</v>
      </c>
      <c r="J1133" s="123">
        <v>1</v>
      </c>
      <c r="K1133" s="124">
        <v>0</v>
      </c>
      <c r="L1133" s="123">
        <v>0</v>
      </c>
      <c r="M1133" s="124">
        <v>1</v>
      </c>
      <c r="N1133" s="123">
        <v>0</v>
      </c>
      <c r="O1133" s="307">
        <v>0</v>
      </c>
    </row>
    <row r="1134" spans="1:15" ht="12.75">
      <c r="A1134" s="269">
        <v>167</v>
      </c>
      <c r="B1134" s="123">
        <v>3424</v>
      </c>
      <c r="C1134" s="124">
        <v>1</v>
      </c>
      <c r="D1134" s="123">
        <v>51</v>
      </c>
      <c r="E1134" s="147">
        <v>3.96</v>
      </c>
      <c r="F1134" s="161">
        <v>0</v>
      </c>
      <c r="G1134" s="145">
        <v>0</v>
      </c>
      <c r="H1134" s="161">
        <v>0</v>
      </c>
      <c r="I1134" s="145">
        <v>1</v>
      </c>
      <c r="J1134" s="123">
        <v>1</v>
      </c>
      <c r="K1134" s="124">
        <v>0</v>
      </c>
      <c r="L1134" s="123">
        <v>0</v>
      </c>
      <c r="M1134" s="124">
        <v>1</v>
      </c>
      <c r="N1134" s="123">
        <v>0</v>
      </c>
      <c r="O1134" s="307">
        <v>0</v>
      </c>
    </row>
    <row r="1135" spans="1:15" ht="12.75">
      <c r="A1135" s="269">
        <v>200</v>
      </c>
      <c r="B1135" s="123">
        <v>877</v>
      </c>
      <c r="C1135" s="124">
        <v>0</v>
      </c>
      <c r="D1135" s="123">
        <v>52</v>
      </c>
      <c r="E1135" s="147">
        <v>3.959</v>
      </c>
      <c r="F1135" s="161">
        <v>0</v>
      </c>
      <c r="G1135" s="145">
        <v>0</v>
      </c>
      <c r="H1135" s="161">
        <v>0</v>
      </c>
      <c r="I1135" s="145">
        <v>1</v>
      </c>
      <c r="J1135" s="123">
        <v>1</v>
      </c>
      <c r="K1135" s="124">
        <v>0</v>
      </c>
      <c r="L1135" s="123">
        <v>0</v>
      </c>
      <c r="M1135" s="124">
        <v>1</v>
      </c>
      <c r="N1135" s="123">
        <v>0</v>
      </c>
      <c r="O1135" s="307">
        <v>0</v>
      </c>
    </row>
    <row r="1136" spans="1:15" ht="12.75">
      <c r="A1136" s="269">
        <v>219</v>
      </c>
      <c r="B1136" s="123">
        <v>3337</v>
      </c>
      <c r="C1136" s="124">
        <v>1</v>
      </c>
      <c r="D1136" s="123">
        <v>51</v>
      </c>
      <c r="E1136" s="147">
        <v>4.062</v>
      </c>
      <c r="F1136" s="161">
        <v>0</v>
      </c>
      <c r="G1136" s="145">
        <v>0</v>
      </c>
      <c r="H1136" s="161">
        <v>0</v>
      </c>
      <c r="I1136" s="145">
        <v>1</v>
      </c>
      <c r="J1136" s="123">
        <v>1</v>
      </c>
      <c r="K1136" s="124">
        <v>0</v>
      </c>
      <c r="L1136" s="123">
        <v>0</v>
      </c>
      <c r="M1136" s="124">
        <v>1</v>
      </c>
      <c r="N1136" s="123">
        <v>0</v>
      </c>
      <c r="O1136" s="307">
        <v>0</v>
      </c>
    </row>
    <row r="1137" spans="1:15" ht="12.75">
      <c r="A1137" s="269">
        <v>244</v>
      </c>
      <c r="B1137" s="123">
        <v>1090</v>
      </c>
      <c r="C1137" s="124">
        <v>0</v>
      </c>
      <c r="D1137" s="123">
        <v>52</v>
      </c>
      <c r="E1137" s="147">
        <v>4.143</v>
      </c>
      <c r="F1137" s="161">
        <v>0</v>
      </c>
      <c r="G1137" s="145">
        <v>0</v>
      </c>
      <c r="H1137" s="161">
        <v>0</v>
      </c>
      <c r="I1137" s="145">
        <v>1</v>
      </c>
      <c r="J1137" s="123">
        <v>1</v>
      </c>
      <c r="K1137" s="124">
        <v>0</v>
      </c>
      <c r="L1137" s="123">
        <v>0</v>
      </c>
      <c r="M1137" s="124">
        <v>1</v>
      </c>
      <c r="N1137" s="123">
        <v>0</v>
      </c>
      <c r="O1137" s="307">
        <v>0</v>
      </c>
    </row>
    <row r="1138" spans="1:15" ht="12.75">
      <c r="A1138" s="269">
        <v>259</v>
      </c>
      <c r="B1138" s="123">
        <v>2321</v>
      </c>
      <c r="C1138" s="124">
        <v>0</v>
      </c>
      <c r="D1138" s="123">
        <v>55</v>
      </c>
      <c r="E1138" s="147">
        <v>4.565</v>
      </c>
      <c r="F1138" s="161">
        <v>0</v>
      </c>
      <c r="G1138" s="145">
        <v>0</v>
      </c>
      <c r="H1138" s="161">
        <v>0</v>
      </c>
      <c r="I1138" s="145">
        <v>1</v>
      </c>
      <c r="J1138" s="123">
        <v>1</v>
      </c>
      <c r="K1138" s="124">
        <v>0</v>
      </c>
      <c r="L1138" s="123">
        <v>0</v>
      </c>
      <c r="M1138" s="124">
        <v>1</v>
      </c>
      <c r="N1138" s="123">
        <v>0</v>
      </c>
      <c r="O1138" s="307">
        <v>0</v>
      </c>
    </row>
    <row r="1139" spans="1:12" s="15" customFormat="1" ht="12.75">
      <c r="A1139" s="249"/>
      <c r="B1139" s="124"/>
      <c r="C1139" s="124"/>
      <c r="D1139" s="124"/>
      <c r="E1139" s="147"/>
      <c r="F1139" s="145"/>
      <c r="G1139" s="145"/>
      <c r="H1139" s="145"/>
      <c r="I1139" s="145"/>
      <c r="J1139" s="124">
        <f>SUM(J1131:J1138)</f>
        <v>8</v>
      </c>
      <c r="K1139" s="124"/>
      <c r="L1139" s="124"/>
    </row>
    <row r="1140" spans="1:15" ht="12.75">
      <c r="A1140" s="269">
        <v>15</v>
      </c>
      <c r="B1140" s="123">
        <v>3539</v>
      </c>
      <c r="C1140" s="124">
        <v>0</v>
      </c>
      <c r="D1140" s="123">
        <v>55</v>
      </c>
      <c r="E1140" s="147">
        <v>4.519</v>
      </c>
      <c r="F1140" s="161">
        <v>0</v>
      </c>
      <c r="G1140" s="145">
        <v>0</v>
      </c>
      <c r="H1140" s="161">
        <v>0</v>
      </c>
      <c r="I1140" s="145">
        <v>1</v>
      </c>
      <c r="J1140" s="123">
        <v>0</v>
      </c>
      <c r="K1140" s="124">
        <v>1</v>
      </c>
      <c r="L1140" s="123">
        <v>0</v>
      </c>
      <c r="M1140" s="124">
        <v>0</v>
      </c>
      <c r="N1140" s="123">
        <v>1</v>
      </c>
      <c r="O1140" s="307">
        <v>0</v>
      </c>
    </row>
    <row r="1141" spans="1:15" ht="12.75">
      <c r="A1141" s="269">
        <v>19</v>
      </c>
      <c r="B1141" s="123">
        <v>3381</v>
      </c>
      <c r="C1141" s="124">
        <v>1</v>
      </c>
      <c r="D1141" s="123">
        <v>54</v>
      </c>
      <c r="E1141" s="147">
        <v>3.779</v>
      </c>
      <c r="F1141" s="161">
        <v>0</v>
      </c>
      <c r="G1141" s="145">
        <v>0</v>
      </c>
      <c r="H1141" s="161">
        <v>0</v>
      </c>
      <c r="I1141" s="145">
        <v>1</v>
      </c>
      <c r="J1141" s="123">
        <v>0</v>
      </c>
      <c r="K1141" s="124">
        <v>1</v>
      </c>
      <c r="L1141" s="123">
        <v>0</v>
      </c>
      <c r="M1141" s="124">
        <v>0</v>
      </c>
      <c r="N1141" s="123">
        <v>1</v>
      </c>
      <c r="O1141" s="307">
        <v>0</v>
      </c>
    </row>
    <row r="1142" spans="1:15" ht="12.75">
      <c r="A1142" s="269">
        <v>21</v>
      </c>
      <c r="B1142" s="123">
        <v>4584</v>
      </c>
      <c r="C1142" s="124">
        <v>1</v>
      </c>
      <c r="D1142" s="123">
        <v>52</v>
      </c>
      <c r="E1142" s="147">
        <v>4.313</v>
      </c>
      <c r="F1142" s="161">
        <v>0</v>
      </c>
      <c r="G1142" s="145">
        <v>0</v>
      </c>
      <c r="H1142" s="161">
        <v>0</v>
      </c>
      <c r="I1142" s="145">
        <v>1</v>
      </c>
      <c r="J1142" s="123">
        <v>0</v>
      </c>
      <c r="K1142" s="124">
        <v>1</v>
      </c>
      <c r="L1142" s="123">
        <v>0</v>
      </c>
      <c r="M1142" s="124">
        <v>0</v>
      </c>
      <c r="N1142" s="123">
        <v>1</v>
      </c>
      <c r="O1142" s="307">
        <v>0</v>
      </c>
    </row>
    <row r="1143" spans="1:15" ht="12.75">
      <c r="A1143" s="269">
        <v>31</v>
      </c>
      <c r="B1143" s="123">
        <v>3776</v>
      </c>
      <c r="C1143" s="124">
        <v>1</v>
      </c>
      <c r="D1143" s="123">
        <v>56</v>
      </c>
      <c r="E1143" s="147">
        <v>4.469</v>
      </c>
      <c r="F1143" s="161">
        <v>0</v>
      </c>
      <c r="G1143" s="145">
        <v>0</v>
      </c>
      <c r="H1143" s="161">
        <v>0</v>
      </c>
      <c r="I1143" s="145">
        <v>1</v>
      </c>
      <c r="J1143" s="123">
        <v>0</v>
      </c>
      <c r="K1143" s="124">
        <v>1</v>
      </c>
      <c r="L1143" s="123">
        <v>0</v>
      </c>
      <c r="M1143" s="124">
        <v>0</v>
      </c>
      <c r="N1143" s="123">
        <v>1</v>
      </c>
      <c r="O1143" s="307">
        <v>0</v>
      </c>
    </row>
    <row r="1144" spans="1:15" ht="12.75">
      <c r="A1144" s="269">
        <v>58</v>
      </c>
      <c r="B1144" s="123">
        <v>3975</v>
      </c>
      <c r="C1144" s="124">
        <v>1</v>
      </c>
      <c r="D1144" s="123">
        <v>52</v>
      </c>
      <c r="E1144" s="147">
        <v>3.876</v>
      </c>
      <c r="F1144" s="161">
        <v>0</v>
      </c>
      <c r="G1144" s="145">
        <v>0</v>
      </c>
      <c r="H1144" s="161">
        <v>0</v>
      </c>
      <c r="I1144" s="145">
        <v>1</v>
      </c>
      <c r="J1144" s="123">
        <v>0</v>
      </c>
      <c r="K1144" s="124">
        <v>1</v>
      </c>
      <c r="L1144" s="123">
        <v>0</v>
      </c>
      <c r="M1144" s="124">
        <v>0</v>
      </c>
      <c r="N1144" s="123">
        <v>1</v>
      </c>
      <c r="O1144" s="307">
        <v>0</v>
      </c>
    </row>
    <row r="1145" spans="1:15" ht="12.75">
      <c r="A1145" s="269">
        <v>60</v>
      </c>
      <c r="B1145" s="123">
        <v>413</v>
      </c>
      <c r="C1145" s="124">
        <v>0</v>
      </c>
      <c r="D1145" s="123">
        <v>52</v>
      </c>
      <c r="E1145" s="147">
        <v>4.362</v>
      </c>
      <c r="F1145" s="161">
        <v>0</v>
      </c>
      <c r="G1145" s="145">
        <v>0</v>
      </c>
      <c r="H1145" s="161">
        <v>0</v>
      </c>
      <c r="I1145" s="145">
        <v>1</v>
      </c>
      <c r="J1145" s="123">
        <v>0</v>
      </c>
      <c r="K1145" s="124">
        <v>1</v>
      </c>
      <c r="L1145" s="123">
        <v>0</v>
      </c>
      <c r="M1145" s="124">
        <v>1</v>
      </c>
      <c r="N1145" s="123">
        <v>0</v>
      </c>
      <c r="O1145" s="307">
        <v>0</v>
      </c>
    </row>
    <row r="1146" spans="1:15" ht="12.75">
      <c r="A1146" s="269">
        <v>61</v>
      </c>
      <c r="B1146" s="123">
        <v>4101</v>
      </c>
      <c r="C1146" s="124">
        <v>0</v>
      </c>
      <c r="D1146" s="123">
        <v>52</v>
      </c>
      <c r="E1146" s="147">
        <v>4.459</v>
      </c>
      <c r="F1146" s="161">
        <v>0</v>
      </c>
      <c r="G1146" s="145">
        <v>0</v>
      </c>
      <c r="H1146" s="161">
        <v>0</v>
      </c>
      <c r="I1146" s="145">
        <v>1</v>
      </c>
      <c r="J1146" s="123">
        <v>0</v>
      </c>
      <c r="K1146" s="124">
        <v>1</v>
      </c>
      <c r="L1146" s="123">
        <v>0</v>
      </c>
      <c r="M1146" s="124">
        <v>0</v>
      </c>
      <c r="N1146" s="123">
        <v>0</v>
      </c>
      <c r="O1146" s="307">
        <v>1</v>
      </c>
    </row>
    <row r="1147" spans="1:15" ht="12.75">
      <c r="A1147" s="269">
        <v>63</v>
      </c>
      <c r="B1147" s="123">
        <v>1536</v>
      </c>
      <c r="C1147" s="124">
        <v>0</v>
      </c>
      <c r="D1147" s="123">
        <v>52</v>
      </c>
      <c r="E1147" s="147">
        <v>3.954</v>
      </c>
      <c r="F1147" s="161">
        <v>0</v>
      </c>
      <c r="G1147" s="145">
        <v>0</v>
      </c>
      <c r="H1147" s="161">
        <v>0</v>
      </c>
      <c r="I1147" s="145">
        <v>1</v>
      </c>
      <c r="J1147" s="123">
        <v>0</v>
      </c>
      <c r="K1147" s="124">
        <v>1</v>
      </c>
      <c r="L1147" s="123">
        <v>0</v>
      </c>
      <c r="M1147" s="124">
        <v>0</v>
      </c>
      <c r="N1147" s="123">
        <v>1</v>
      </c>
      <c r="O1147" s="307">
        <v>0</v>
      </c>
    </row>
    <row r="1148" spans="1:15" ht="12.75">
      <c r="A1148" s="269">
        <v>78</v>
      </c>
      <c r="B1148" s="123">
        <v>3316</v>
      </c>
      <c r="C1148" s="124">
        <v>0</v>
      </c>
      <c r="D1148" s="123">
        <v>54</v>
      </c>
      <c r="E1148" s="147">
        <v>3.869</v>
      </c>
      <c r="F1148" s="161">
        <v>0</v>
      </c>
      <c r="G1148" s="145">
        <v>0</v>
      </c>
      <c r="H1148" s="161">
        <v>0</v>
      </c>
      <c r="I1148" s="145">
        <v>1</v>
      </c>
      <c r="J1148" s="123">
        <v>0</v>
      </c>
      <c r="K1148" s="124">
        <v>1</v>
      </c>
      <c r="L1148" s="123">
        <v>0</v>
      </c>
      <c r="M1148" s="124">
        <v>1</v>
      </c>
      <c r="N1148" s="123">
        <v>0</v>
      </c>
      <c r="O1148" s="307">
        <v>0</v>
      </c>
    </row>
    <row r="1149" spans="1:15" ht="12.75">
      <c r="A1149" s="269">
        <v>80</v>
      </c>
      <c r="B1149" s="123">
        <v>569</v>
      </c>
      <c r="C1149" s="124">
        <v>1</v>
      </c>
      <c r="D1149" s="123">
        <v>55</v>
      </c>
      <c r="E1149" s="147">
        <v>3.83</v>
      </c>
      <c r="F1149" s="161">
        <v>0</v>
      </c>
      <c r="G1149" s="145">
        <v>0</v>
      </c>
      <c r="H1149" s="161">
        <v>0</v>
      </c>
      <c r="I1149" s="145">
        <v>1</v>
      </c>
      <c r="J1149" s="123">
        <v>0</v>
      </c>
      <c r="K1149" s="124">
        <v>1</v>
      </c>
      <c r="L1149" s="123">
        <v>0</v>
      </c>
      <c r="M1149" s="124">
        <v>0</v>
      </c>
      <c r="N1149" s="123">
        <v>0</v>
      </c>
      <c r="O1149" s="307">
        <v>1</v>
      </c>
    </row>
    <row r="1150" spans="1:15" ht="12.75">
      <c r="A1150" s="269">
        <v>83</v>
      </c>
      <c r="B1150" s="123">
        <v>2527</v>
      </c>
      <c r="C1150" s="124">
        <v>1</v>
      </c>
      <c r="D1150" s="123">
        <v>55</v>
      </c>
      <c r="E1150" s="147">
        <v>4.519</v>
      </c>
      <c r="F1150" s="161">
        <v>0</v>
      </c>
      <c r="G1150" s="145">
        <v>0</v>
      </c>
      <c r="H1150" s="161">
        <v>0</v>
      </c>
      <c r="I1150" s="145">
        <v>1</v>
      </c>
      <c r="J1150" s="123">
        <v>0</v>
      </c>
      <c r="K1150" s="124">
        <v>1</v>
      </c>
      <c r="L1150" s="123">
        <v>0</v>
      </c>
      <c r="M1150" s="124">
        <v>0</v>
      </c>
      <c r="N1150" s="123">
        <v>0</v>
      </c>
      <c r="O1150" s="307">
        <v>1</v>
      </c>
    </row>
    <row r="1151" spans="1:15" ht="12.75">
      <c r="A1151" s="269">
        <v>96</v>
      </c>
      <c r="B1151" s="123">
        <v>2745</v>
      </c>
      <c r="C1151" s="124">
        <v>1</v>
      </c>
      <c r="D1151" s="123">
        <v>50</v>
      </c>
      <c r="E1151" s="147">
        <v>4.039</v>
      </c>
      <c r="F1151" s="161">
        <v>0</v>
      </c>
      <c r="G1151" s="145">
        <v>0</v>
      </c>
      <c r="H1151" s="161">
        <v>0</v>
      </c>
      <c r="I1151" s="145">
        <v>1</v>
      </c>
      <c r="J1151" s="123">
        <v>0</v>
      </c>
      <c r="K1151" s="124">
        <v>1</v>
      </c>
      <c r="L1151" s="123">
        <v>0</v>
      </c>
      <c r="M1151" s="124">
        <v>0</v>
      </c>
      <c r="N1151" s="123">
        <v>1</v>
      </c>
      <c r="O1151" s="307">
        <v>0</v>
      </c>
    </row>
    <row r="1152" spans="1:15" ht="12.75">
      <c r="A1152" s="269">
        <v>97</v>
      </c>
      <c r="B1152" s="123">
        <v>2335</v>
      </c>
      <c r="C1152" s="124">
        <v>1</v>
      </c>
      <c r="D1152" s="123">
        <v>56</v>
      </c>
      <c r="E1152" s="147">
        <v>4.477</v>
      </c>
      <c r="F1152" s="161">
        <v>0</v>
      </c>
      <c r="G1152" s="145">
        <v>0</v>
      </c>
      <c r="H1152" s="161">
        <v>0</v>
      </c>
      <c r="I1152" s="145">
        <v>1</v>
      </c>
      <c r="J1152" s="123">
        <v>0</v>
      </c>
      <c r="K1152" s="124">
        <v>1</v>
      </c>
      <c r="L1152" s="123">
        <v>0</v>
      </c>
      <c r="M1152" s="124">
        <v>0</v>
      </c>
      <c r="N1152" s="123">
        <v>1</v>
      </c>
      <c r="O1152" s="307">
        <v>0</v>
      </c>
    </row>
    <row r="1153" spans="1:15" ht="12.75">
      <c r="A1153" s="269">
        <v>99</v>
      </c>
      <c r="B1153" s="123">
        <v>2060</v>
      </c>
      <c r="C1153" s="124">
        <v>0</v>
      </c>
      <c r="D1153" s="123">
        <v>52</v>
      </c>
      <c r="E1153" s="147">
        <v>4.862</v>
      </c>
      <c r="F1153" s="161">
        <v>0</v>
      </c>
      <c r="G1153" s="145">
        <v>0</v>
      </c>
      <c r="H1153" s="161">
        <v>0</v>
      </c>
      <c r="I1153" s="145">
        <v>1</v>
      </c>
      <c r="J1153" s="123">
        <v>0</v>
      </c>
      <c r="K1153" s="124">
        <v>1</v>
      </c>
      <c r="L1153" s="123">
        <v>0</v>
      </c>
      <c r="M1153" s="124">
        <v>0</v>
      </c>
      <c r="N1153" s="123">
        <v>0</v>
      </c>
      <c r="O1153" s="307">
        <v>1</v>
      </c>
    </row>
    <row r="1154" spans="1:15" ht="12.75">
      <c r="A1154" s="269">
        <v>119</v>
      </c>
      <c r="B1154" s="123">
        <v>2197</v>
      </c>
      <c r="C1154" s="124">
        <v>1</v>
      </c>
      <c r="D1154" s="123">
        <v>51</v>
      </c>
      <c r="E1154" s="147">
        <v>4.048</v>
      </c>
      <c r="F1154" s="161">
        <v>0</v>
      </c>
      <c r="G1154" s="145">
        <v>0</v>
      </c>
      <c r="H1154" s="161">
        <v>0</v>
      </c>
      <c r="I1154" s="145">
        <v>1</v>
      </c>
      <c r="J1154" s="123">
        <v>0</v>
      </c>
      <c r="K1154" s="124">
        <v>1</v>
      </c>
      <c r="L1154" s="123">
        <v>0</v>
      </c>
      <c r="M1154" s="124">
        <v>1</v>
      </c>
      <c r="N1154" s="123">
        <v>0</v>
      </c>
      <c r="O1154" s="307">
        <v>0</v>
      </c>
    </row>
    <row r="1155" spans="1:15" ht="12.75">
      <c r="A1155" s="269">
        <v>130</v>
      </c>
      <c r="B1155" s="123">
        <v>2935</v>
      </c>
      <c r="C1155" s="124">
        <v>0</v>
      </c>
      <c r="D1155" s="123">
        <v>55</v>
      </c>
      <c r="E1155" s="147">
        <v>4.434</v>
      </c>
      <c r="F1155" s="161">
        <v>0</v>
      </c>
      <c r="G1155" s="145">
        <v>0</v>
      </c>
      <c r="H1155" s="161">
        <v>0</v>
      </c>
      <c r="I1155" s="145">
        <v>1</v>
      </c>
      <c r="J1155" s="123">
        <v>0</v>
      </c>
      <c r="K1155" s="124">
        <v>1</v>
      </c>
      <c r="L1155" s="123">
        <v>0</v>
      </c>
      <c r="M1155" s="124">
        <v>1</v>
      </c>
      <c r="N1155" s="123">
        <v>0</v>
      </c>
      <c r="O1155" s="307">
        <v>0</v>
      </c>
    </row>
    <row r="1156" spans="1:15" ht="12.75">
      <c r="A1156" s="269">
        <v>133</v>
      </c>
      <c r="B1156" s="123">
        <v>455</v>
      </c>
      <c r="C1156" s="124">
        <v>0</v>
      </c>
      <c r="D1156" s="123">
        <v>53</v>
      </c>
      <c r="E1156" s="147">
        <v>4.038</v>
      </c>
      <c r="F1156" s="161">
        <v>0</v>
      </c>
      <c r="G1156" s="145">
        <v>0</v>
      </c>
      <c r="H1156" s="161">
        <v>0</v>
      </c>
      <c r="I1156" s="145">
        <v>1</v>
      </c>
      <c r="J1156" s="123">
        <v>0</v>
      </c>
      <c r="K1156" s="124">
        <v>1</v>
      </c>
      <c r="L1156" s="123">
        <v>0</v>
      </c>
      <c r="M1156" s="124">
        <v>0</v>
      </c>
      <c r="N1156" s="123">
        <v>1</v>
      </c>
      <c r="O1156" s="307">
        <v>0</v>
      </c>
    </row>
    <row r="1157" spans="1:15" ht="12.75">
      <c r="A1157" s="269">
        <v>137</v>
      </c>
      <c r="B1157" s="123">
        <v>2997</v>
      </c>
      <c r="C1157" s="124">
        <v>1</v>
      </c>
      <c r="D1157" s="123">
        <v>51</v>
      </c>
      <c r="E1157" s="147">
        <v>4.094</v>
      </c>
      <c r="F1157" s="161">
        <v>0</v>
      </c>
      <c r="G1157" s="145">
        <v>0</v>
      </c>
      <c r="H1157" s="161">
        <v>0</v>
      </c>
      <c r="I1157" s="145">
        <v>1</v>
      </c>
      <c r="J1157" s="123">
        <v>0</v>
      </c>
      <c r="K1157" s="124">
        <v>1</v>
      </c>
      <c r="L1157" s="123">
        <v>0</v>
      </c>
      <c r="M1157" s="124">
        <v>0</v>
      </c>
      <c r="N1157" s="123">
        <v>1</v>
      </c>
      <c r="O1157" s="307">
        <v>0</v>
      </c>
    </row>
    <row r="1158" spans="1:15" ht="12.75">
      <c r="A1158" s="269">
        <v>143</v>
      </c>
      <c r="B1158" s="123">
        <v>2545</v>
      </c>
      <c r="C1158" s="124">
        <v>0</v>
      </c>
      <c r="D1158" s="123">
        <v>51</v>
      </c>
      <c r="E1158" s="147">
        <v>4.049</v>
      </c>
      <c r="F1158" s="161">
        <v>0</v>
      </c>
      <c r="G1158" s="145">
        <v>0</v>
      </c>
      <c r="H1158" s="161">
        <v>0</v>
      </c>
      <c r="I1158" s="145">
        <v>1</v>
      </c>
      <c r="J1158" s="123">
        <v>0</v>
      </c>
      <c r="K1158" s="124">
        <v>1</v>
      </c>
      <c r="L1158" s="123">
        <v>0</v>
      </c>
      <c r="M1158" s="124">
        <v>0</v>
      </c>
      <c r="N1158" s="123">
        <v>1</v>
      </c>
      <c r="O1158" s="307">
        <v>0</v>
      </c>
    </row>
    <row r="1159" spans="1:15" ht="12.75">
      <c r="A1159" s="269">
        <v>175</v>
      </c>
      <c r="B1159" s="123">
        <v>4202</v>
      </c>
      <c r="C1159" s="124">
        <v>1</v>
      </c>
      <c r="D1159" s="123">
        <v>54</v>
      </c>
      <c r="E1159" s="147">
        <v>4.002</v>
      </c>
      <c r="F1159" s="161">
        <v>0</v>
      </c>
      <c r="G1159" s="145">
        <v>0</v>
      </c>
      <c r="H1159" s="161">
        <v>0</v>
      </c>
      <c r="I1159" s="145">
        <v>1</v>
      </c>
      <c r="J1159" s="123">
        <v>0</v>
      </c>
      <c r="K1159" s="124">
        <v>1</v>
      </c>
      <c r="L1159" s="123">
        <v>0</v>
      </c>
      <c r="M1159" s="124">
        <v>0</v>
      </c>
      <c r="N1159" s="123">
        <v>0</v>
      </c>
      <c r="O1159" s="307">
        <v>1</v>
      </c>
    </row>
    <row r="1160" spans="1:15" ht="12.75">
      <c r="A1160" s="269">
        <v>179</v>
      </c>
      <c r="B1160" s="123">
        <v>4038</v>
      </c>
      <c r="C1160" s="124">
        <v>1</v>
      </c>
      <c r="D1160" s="123">
        <v>53</v>
      </c>
      <c r="E1160" s="147">
        <v>3.973</v>
      </c>
      <c r="F1160" s="161">
        <v>0</v>
      </c>
      <c r="G1160" s="145">
        <v>0</v>
      </c>
      <c r="H1160" s="161">
        <v>0</v>
      </c>
      <c r="I1160" s="145">
        <v>1</v>
      </c>
      <c r="J1160" s="123">
        <v>0</v>
      </c>
      <c r="K1160" s="124">
        <v>1</v>
      </c>
      <c r="L1160" s="123">
        <v>0</v>
      </c>
      <c r="M1160" s="124">
        <v>0</v>
      </c>
      <c r="N1160" s="123">
        <v>1</v>
      </c>
      <c r="O1160" s="307">
        <v>0</v>
      </c>
    </row>
    <row r="1161" spans="1:15" ht="12.75">
      <c r="A1161" s="269">
        <v>184</v>
      </c>
      <c r="B1161" s="123">
        <v>999</v>
      </c>
      <c r="C1161" s="124">
        <v>0</v>
      </c>
      <c r="D1161" s="123">
        <v>55</v>
      </c>
      <c r="E1161" s="147">
        <v>3.875</v>
      </c>
      <c r="F1161" s="161">
        <v>0</v>
      </c>
      <c r="G1161" s="145">
        <v>0</v>
      </c>
      <c r="H1161" s="161">
        <v>0</v>
      </c>
      <c r="I1161" s="145">
        <v>1</v>
      </c>
      <c r="J1161" s="123">
        <v>0</v>
      </c>
      <c r="K1161" s="124">
        <v>1</v>
      </c>
      <c r="L1161" s="123">
        <v>0</v>
      </c>
      <c r="M1161" s="124">
        <v>1</v>
      </c>
      <c r="N1161" s="123">
        <v>0</v>
      </c>
      <c r="O1161" s="307">
        <v>0</v>
      </c>
    </row>
    <row r="1162" spans="1:15" ht="12.75">
      <c r="A1162" s="269">
        <v>194</v>
      </c>
      <c r="B1162" s="123">
        <v>2134</v>
      </c>
      <c r="C1162" s="124">
        <v>1</v>
      </c>
      <c r="D1162" s="123">
        <v>52</v>
      </c>
      <c r="E1162" s="147">
        <v>3.903</v>
      </c>
      <c r="F1162" s="161">
        <v>0</v>
      </c>
      <c r="G1162" s="145">
        <v>0</v>
      </c>
      <c r="H1162" s="161">
        <v>0</v>
      </c>
      <c r="I1162" s="145">
        <v>1</v>
      </c>
      <c r="J1162" s="123">
        <v>0</v>
      </c>
      <c r="K1162" s="124">
        <v>1</v>
      </c>
      <c r="L1162" s="123">
        <v>0</v>
      </c>
      <c r="M1162" s="124">
        <v>0</v>
      </c>
      <c r="N1162" s="123">
        <v>0</v>
      </c>
      <c r="O1162" s="307">
        <v>1</v>
      </c>
    </row>
    <row r="1163" spans="1:15" ht="12.75">
      <c r="A1163" s="269">
        <v>205</v>
      </c>
      <c r="B1163" s="123">
        <v>2045</v>
      </c>
      <c r="C1163" s="124">
        <v>0</v>
      </c>
      <c r="D1163" s="123">
        <v>51</v>
      </c>
      <c r="E1163" s="147">
        <v>3.977</v>
      </c>
      <c r="F1163" s="161">
        <v>0</v>
      </c>
      <c r="G1163" s="145">
        <v>0</v>
      </c>
      <c r="H1163" s="161">
        <v>0</v>
      </c>
      <c r="I1163" s="145">
        <v>1</v>
      </c>
      <c r="J1163" s="123">
        <v>0</v>
      </c>
      <c r="K1163" s="124">
        <v>1</v>
      </c>
      <c r="L1163" s="123">
        <v>0</v>
      </c>
      <c r="M1163" s="124">
        <v>0</v>
      </c>
      <c r="N1163" s="123">
        <v>1</v>
      </c>
      <c r="O1163" s="307">
        <v>0</v>
      </c>
    </row>
    <row r="1164" spans="1:15" ht="12.75">
      <c r="A1164" s="269">
        <v>207</v>
      </c>
      <c r="B1164" s="123">
        <v>1564</v>
      </c>
      <c r="C1164" s="124">
        <v>0</v>
      </c>
      <c r="D1164" s="123">
        <v>54</v>
      </c>
      <c r="E1164" s="147">
        <v>3.973</v>
      </c>
      <c r="F1164" s="161">
        <v>0</v>
      </c>
      <c r="G1164" s="145">
        <v>0</v>
      </c>
      <c r="H1164" s="161">
        <v>0</v>
      </c>
      <c r="I1164" s="145">
        <v>1</v>
      </c>
      <c r="J1164" s="123">
        <v>0</v>
      </c>
      <c r="K1164" s="124">
        <v>1</v>
      </c>
      <c r="L1164" s="123">
        <v>0</v>
      </c>
      <c r="M1164" s="124">
        <v>0</v>
      </c>
      <c r="N1164" s="123">
        <v>1</v>
      </c>
      <c r="O1164" s="307">
        <v>0</v>
      </c>
    </row>
    <row r="1165" spans="1:15" ht="12.75">
      <c r="A1165" s="269">
        <v>227</v>
      </c>
      <c r="B1165" s="123">
        <v>152</v>
      </c>
      <c r="C1165" s="124">
        <v>0</v>
      </c>
      <c r="D1165" s="123">
        <v>54</v>
      </c>
      <c r="E1165" s="147">
        <v>4.269</v>
      </c>
      <c r="F1165" s="161">
        <v>0</v>
      </c>
      <c r="G1165" s="145">
        <v>0</v>
      </c>
      <c r="H1165" s="161">
        <v>0</v>
      </c>
      <c r="I1165" s="145">
        <v>1</v>
      </c>
      <c r="J1165" s="123">
        <v>0</v>
      </c>
      <c r="K1165" s="124">
        <v>1</v>
      </c>
      <c r="L1165" s="123">
        <v>0</v>
      </c>
      <c r="M1165" s="124">
        <v>1</v>
      </c>
      <c r="N1165" s="123">
        <v>0</v>
      </c>
      <c r="O1165" s="307">
        <v>0</v>
      </c>
    </row>
    <row r="1166" spans="1:15" ht="12.75">
      <c r="A1166" s="269">
        <v>238</v>
      </c>
      <c r="B1166" s="123">
        <v>3114</v>
      </c>
      <c r="C1166" s="124">
        <v>1</v>
      </c>
      <c r="D1166" s="123">
        <v>56</v>
      </c>
      <c r="E1166" s="147">
        <v>3.89</v>
      </c>
      <c r="F1166" s="161">
        <v>0</v>
      </c>
      <c r="G1166" s="145">
        <v>0</v>
      </c>
      <c r="H1166" s="161">
        <v>0</v>
      </c>
      <c r="I1166" s="145">
        <v>1</v>
      </c>
      <c r="J1166" s="123">
        <v>0</v>
      </c>
      <c r="K1166" s="124">
        <v>1</v>
      </c>
      <c r="L1166" s="123">
        <v>0</v>
      </c>
      <c r="M1166" s="124">
        <v>1</v>
      </c>
      <c r="N1166" s="123">
        <v>0</v>
      </c>
      <c r="O1166" s="307">
        <v>0</v>
      </c>
    </row>
    <row r="1167" spans="1:15" ht="12.75">
      <c r="A1167" s="269">
        <v>239</v>
      </c>
      <c r="B1167" s="123">
        <v>2992</v>
      </c>
      <c r="C1167" s="124">
        <v>1</v>
      </c>
      <c r="D1167" s="123">
        <v>54</v>
      </c>
      <c r="E1167" s="147">
        <v>4.48</v>
      </c>
      <c r="F1167" s="161">
        <v>0</v>
      </c>
      <c r="G1167" s="145">
        <v>0</v>
      </c>
      <c r="H1167" s="161">
        <v>0</v>
      </c>
      <c r="I1167" s="145">
        <v>1</v>
      </c>
      <c r="J1167" s="123">
        <v>0</v>
      </c>
      <c r="K1167" s="124">
        <v>1</v>
      </c>
      <c r="L1167" s="123">
        <v>0</v>
      </c>
      <c r="M1167" s="124">
        <v>0</v>
      </c>
      <c r="N1167" s="123">
        <v>1</v>
      </c>
      <c r="O1167" s="307">
        <v>0</v>
      </c>
    </row>
    <row r="1168" spans="1:15" ht="12.75">
      <c r="A1168" s="269">
        <v>248</v>
      </c>
      <c r="B1168" s="123">
        <v>3868</v>
      </c>
      <c r="C1168" s="124">
        <v>1</v>
      </c>
      <c r="D1168" s="123">
        <v>53</v>
      </c>
      <c r="E1168" s="147">
        <v>4.689</v>
      </c>
      <c r="F1168" s="161">
        <v>0</v>
      </c>
      <c r="G1168" s="145">
        <v>0</v>
      </c>
      <c r="H1168" s="161">
        <v>0</v>
      </c>
      <c r="I1168" s="145">
        <v>1</v>
      </c>
      <c r="J1168" s="123">
        <v>0</v>
      </c>
      <c r="K1168" s="124">
        <v>1</v>
      </c>
      <c r="L1168" s="123">
        <v>0</v>
      </c>
      <c r="M1168" s="124">
        <v>1</v>
      </c>
      <c r="N1168" s="123">
        <v>0</v>
      </c>
      <c r="O1168" s="307">
        <v>0</v>
      </c>
    </row>
    <row r="1169" spans="1:15" ht="12.75">
      <c r="A1169" s="269">
        <v>249</v>
      </c>
      <c r="B1169" s="123">
        <v>134</v>
      </c>
      <c r="C1169" s="124">
        <v>1</v>
      </c>
      <c r="D1169" s="123">
        <v>52</v>
      </c>
      <c r="E1169" s="147">
        <v>3.872</v>
      </c>
      <c r="F1169" s="161">
        <v>0</v>
      </c>
      <c r="G1169" s="145">
        <v>0</v>
      </c>
      <c r="H1169" s="161">
        <v>0</v>
      </c>
      <c r="I1169" s="145">
        <v>1</v>
      </c>
      <c r="J1169" s="123">
        <v>0</v>
      </c>
      <c r="K1169" s="124">
        <v>1</v>
      </c>
      <c r="L1169" s="123">
        <v>0</v>
      </c>
      <c r="M1169" s="124">
        <v>0</v>
      </c>
      <c r="N1169" s="123">
        <v>1</v>
      </c>
      <c r="O1169" s="307">
        <v>0</v>
      </c>
    </row>
    <row r="1170" spans="1:15" ht="12.75">
      <c r="A1170" s="269">
        <v>254</v>
      </c>
      <c r="B1170" s="123">
        <v>3775</v>
      </c>
      <c r="C1170" s="124">
        <v>0</v>
      </c>
      <c r="D1170" s="123">
        <v>53</v>
      </c>
      <c r="E1170" s="147">
        <v>3.775</v>
      </c>
      <c r="F1170" s="161">
        <v>0</v>
      </c>
      <c r="G1170" s="145">
        <v>0</v>
      </c>
      <c r="H1170" s="161">
        <v>0</v>
      </c>
      <c r="I1170" s="145">
        <v>1</v>
      </c>
      <c r="J1170" s="123">
        <v>0</v>
      </c>
      <c r="K1170" s="124">
        <v>1</v>
      </c>
      <c r="L1170" s="123">
        <v>0</v>
      </c>
      <c r="M1170" s="124">
        <v>0</v>
      </c>
      <c r="N1170" s="123">
        <v>0</v>
      </c>
      <c r="O1170" s="307">
        <v>1</v>
      </c>
    </row>
    <row r="1171" spans="1:15" ht="12.75">
      <c r="A1171" s="269">
        <v>266</v>
      </c>
      <c r="B1171" s="123">
        <v>2364</v>
      </c>
      <c r="C1171" s="124">
        <v>1</v>
      </c>
      <c r="D1171" s="123">
        <v>55</v>
      </c>
      <c r="E1171" s="147">
        <v>3.86</v>
      </c>
      <c r="F1171" s="161">
        <v>0</v>
      </c>
      <c r="G1171" s="145">
        <v>0</v>
      </c>
      <c r="H1171" s="161">
        <v>0</v>
      </c>
      <c r="I1171" s="145">
        <v>1</v>
      </c>
      <c r="J1171" s="123">
        <v>0</v>
      </c>
      <c r="K1171" s="124">
        <v>1</v>
      </c>
      <c r="L1171" s="123">
        <v>0</v>
      </c>
      <c r="M1171" s="124">
        <v>0</v>
      </c>
      <c r="N1171" s="123">
        <v>1</v>
      </c>
      <c r="O1171" s="307">
        <v>0</v>
      </c>
    </row>
    <row r="1172" spans="1:12" s="15" customFormat="1" ht="12.75">
      <c r="A1172" s="249"/>
      <c r="B1172" s="124"/>
      <c r="C1172" s="124"/>
      <c r="D1172" s="124"/>
      <c r="E1172" s="147"/>
      <c r="F1172" s="145"/>
      <c r="G1172" s="145"/>
      <c r="H1172" s="145"/>
      <c r="I1172" s="145">
        <f>SUM(I1140:I1171)</f>
        <v>32</v>
      </c>
      <c r="J1172" s="124"/>
      <c r="K1172" s="145">
        <f>SUM(K1140:K1171)</f>
        <v>32</v>
      </c>
      <c r="L1172" s="124"/>
    </row>
    <row r="1173" spans="1:15" ht="12.75">
      <c r="A1173" s="269">
        <v>7</v>
      </c>
      <c r="B1173" s="123">
        <v>336</v>
      </c>
      <c r="C1173" s="124">
        <v>0</v>
      </c>
      <c r="D1173" s="123">
        <v>52</v>
      </c>
      <c r="E1173" s="147">
        <v>3.838</v>
      </c>
      <c r="F1173" s="161">
        <v>0</v>
      </c>
      <c r="G1173" s="145">
        <v>0</v>
      </c>
      <c r="H1173" s="161">
        <v>0</v>
      </c>
      <c r="I1173" s="145">
        <v>1</v>
      </c>
      <c r="J1173" s="123">
        <v>0</v>
      </c>
      <c r="K1173" s="124">
        <v>0</v>
      </c>
      <c r="L1173" s="123">
        <v>1</v>
      </c>
      <c r="M1173" s="124">
        <v>0</v>
      </c>
      <c r="N1173" s="123">
        <v>1</v>
      </c>
      <c r="O1173" s="307">
        <v>0</v>
      </c>
    </row>
    <row r="1174" spans="1:15" ht="12.75">
      <c r="A1174" s="269">
        <v>23</v>
      </c>
      <c r="B1174" s="123">
        <v>996</v>
      </c>
      <c r="C1174" s="124">
        <v>0</v>
      </c>
      <c r="D1174" s="123">
        <v>53</v>
      </c>
      <c r="E1174" s="147">
        <v>4.243</v>
      </c>
      <c r="F1174" s="161">
        <v>0</v>
      </c>
      <c r="G1174" s="145">
        <v>0</v>
      </c>
      <c r="H1174" s="161">
        <v>0</v>
      </c>
      <c r="I1174" s="145">
        <v>1</v>
      </c>
      <c r="J1174" s="123">
        <v>0</v>
      </c>
      <c r="K1174" s="124">
        <v>0</v>
      </c>
      <c r="L1174" s="123">
        <v>1</v>
      </c>
      <c r="M1174" s="124">
        <v>0</v>
      </c>
      <c r="N1174" s="123">
        <v>1</v>
      </c>
      <c r="O1174" s="307">
        <v>0</v>
      </c>
    </row>
    <row r="1175" spans="1:15" ht="12.75">
      <c r="A1175" s="269">
        <v>38</v>
      </c>
      <c r="B1175" s="123">
        <v>4540</v>
      </c>
      <c r="C1175" s="124">
        <v>0</v>
      </c>
      <c r="D1175" s="123">
        <v>54</v>
      </c>
      <c r="E1175" s="147">
        <v>4.173</v>
      </c>
      <c r="F1175" s="161">
        <v>0</v>
      </c>
      <c r="G1175" s="145">
        <v>0</v>
      </c>
      <c r="H1175" s="161">
        <v>0</v>
      </c>
      <c r="I1175" s="145">
        <v>1</v>
      </c>
      <c r="J1175" s="123">
        <v>0</v>
      </c>
      <c r="K1175" s="124">
        <v>0</v>
      </c>
      <c r="L1175" s="123">
        <v>1</v>
      </c>
      <c r="M1175" s="124">
        <v>0</v>
      </c>
      <c r="N1175" s="123">
        <v>1</v>
      </c>
      <c r="O1175" s="307">
        <v>0</v>
      </c>
    </row>
    <row r="1176" spans="1:15" ht="12.75">
      <c r="A1176" s="269">
        <v>48</v>
      </c>
      <c r="B1176" s="123">
        <v>1169</v>
      </c>
      <c r="C1176" s="124">
        <v>1</v>
      </c>
      <c r="D1176" s="123">
        <v>55</v>
      </c>
      <c r="E1176" s="147">
        <v>3.841</v>
      </c>
      <c r="F1176" s="161">
        <v>0</v>
      </c>
      <c r="G1176" s="145">
        <v>0</v>
      </c>
      <c r="H1176" s="161">
        <v>0</v>
      </c>
      <c r="I1176" s="145">
        <v>1</v>
      </c>
      <c r="J1176" s="123">
        <v>0</v>
      </c>
      <c r="K1176" s="124">
        <v>0</v>
      </c>
      <c r="L1176" s="123">
        <v>1</v>
      </c>
      <c r="M1176" s="124">
        <v>0</v>
      </c>
      <c r="N1176" s="123">
        <v>0</v>
      </c>
      <c r="O1176" s="307">
        <v>1</v>
      </c>
    </row>
    <row r="1177" spans="1:15" ht="12.75">
      <c r="A1177" s="269">
        <v>71</v>
      </c>
      <c r="B1177" s="123">
        <v>4533</v>
      </c>
      <c r="C1177" s="124">
        <v>0</v>
      </c>
      <c r="D1177" s="123">
        <v>51</v>
      </c>
      <c r="E1177" s="147">
        <v>4.044</v>
      </c>
      <c r="F1177" s="161">
        <v>0</v>
      </c>
      <c r="G1177" s="145">
        <v>0</v>
      </c>
      <c r="H1177" s="161">
        <v>0</v>
      </c>
      <c r="I1177" s="145">
        <v>1</v>
      </c>
      <c r="J1177" s="123">
        <v>0</v>
      </c>
      <c r="K1177" s="124">
        <v>0</v>
      </c>
      <c r="L1177" s="123">
        <v>1</v>
      </c>
      <c r="M1177" s="124">
        <v>0</v>
      </c>
      <c r="N1177" s="123">
        <v>1</v>
      </c>
      <c r="O1177" s="307">
        <v>0</v>
      </c>
    </row>
    <row r="1178" spans="1:15" ht="12.75">
      <c r="A1178" s="269">
        <v>125</v>
      </c>
      <c r="B1178" s="123">
        <v>3034</v>
      </c>
      <c r="C1178" s="124">
        <v>1</v>
      </c>
      <c r="D1178" s="123">
        <v>54</v>
      </c>
      <c r="E1178" s="147">
        <v>3.763</v>
      </c>
      <c r="F1178" s="161">
        <v>0</v>
      </c>
      <c r="G1178" s="145">
        <v>0</v>
      </c>
      <c r="H1178" s="161">
        <v>0</v>
      </c>
      <c r="I1178" s="145">
        <v>1</v>
      </c>
      <c r="J1178" s="123">
        <v>0</v>
      </c>
      <c r="K1178" s="124">
        <v>0</v>
      </c>
      <c r="L1178" s="123">
        <v>1</v>
      </c>
      <c r="M1178" s="124">
        <v>0</v>
      </c>
      <c r="N1178" s="123">
        <v>0</v>
      </c>
      <c r="O1178" s="307">
        <v>1</v>
      </c>
    </row>
    <row r="1179" spans="1:15" ht="12.75">
      <c r="A1179" s="269">
        <v>136</v>
      </c>
      <c r="B1179" s="123">
        <v>527</v>
      </c>
      <c r="C1179" s="124">
        <v>1</v>
      </c>
      <c r="D1179" s="123">
        <v>55</v>
      </c>
      <c r="E1179" s="147">
        <v>4.569</v>
      </c>
      <c r="F1179" s="161">
        <v>0</v>
      </c>
      <c r="G1179" s="145">
        <v>0</v>
      </c>
      <c r="H1179" s="161">
        <v>0</v>
      </c>
      <c r="I1179" s="145">
        <v>1</v>
      </c>
      <c r="J1179" s="123">
        <v>0</v>
      </c>
      <c r="K1179" s="124">
        <v>0</v>
      </c>
      <c r="L1179" s="123">
        <v>1</v>
      </c>
      <c r="M1179" s="124">
        <v>0</v>
      </c>
      <c r="N1179" s="123">
        <v>1</v>
      </c>
      <c r="O1179" s="307">
        <v>0</v>
      </c>
    </row>
    <row r="1180" spans="1:15" ht="12.75">
      <c r="A1180" s="269">
        <v>141</v>
      </c>
      <c r="B1180" s="123">
        <v>3013</v>
      </c>
      <c r="C1180" s="124">
        <v>1</v>
      </c>
      <c r="D1180" s="123">
        <v>51</v>
      </c>
      <c r="E1180" s="147">
        <v>4.401</v>
      </c>
      <c r="F1180" s="161">
        <v>0</v>
      </c>
      <c r="G1180" s="145">
        <v>0</v>
      </c>
      <c r="H1180" s="161">
        <v>0</v>
      </c>
      <c r="I1180" s="145">
        <v>1</v>
      </c>
      <c r="J1180" s="123">
        <v>0</v>
      </c>
      <c r="K1180" s="124">
        <v>0</v>
      </c>
      <c r="L1180" s="123">
        <v>1</v>
      </c>
      <c r="M1180" s="124">
        <v>0</v>
      </c>
      <c r="N1180" s="123">
        <v>1</v>
      </c>
      <c r="O1180" s="307">
        <v>0</v>
      </c>
    </row>
    <row r="1181" spans="1:15" ht="12.75">
      <c r="A1181" s="269">
        <v>160</v>
      </c>
      <c r="B1181" s="123">
        <v>1813</v>
      </c>
      <c r="C1181" s="124">
        <v>1</v>
      </c>
      <c r="D1181" s="123">
        <v>51</v>
      </c>
      <c r="E1181" s="147">
        <v>4.418</v>
      </c>
      <c r="F1181" s="161">
        <v>0</v>
      </c>
      <c r="G1181" s="145">
        <v>0</v>
      </c>
      <c r="H1181" s="161">
        <v>0</v>
      </c>
      <c r="I1181" s="145">
        <v>1</v>
      </c>
      <c r="J1181" s="123">
        <v>0</v>
      </c>
      <c r="K1181" s="124">
        <v>0</v>
      </c>
      <c r="L1181" s="123">
        <v>1</v>
      </c>
      <c r="M1181" s="124">
        <v>0</v>
      </c>
      <c r="N1181" s="123">
        <v>1</v>
      </c>
      <c r="O1181" s="307">
        <v>0</v>
      </c>
    </row>
    <row r="1182" spans="1:15" ht="12.75">
      <c r="A1182" s="269">
        <v>199</v>
      </c>
      <c r="B1182" s="123">
        <v>1592</v>
      </c>
      <c r="C1182" s="124">
        <v>1</v>
      </c>
      <c r="D1182" s="123">
        <v>56</v>
      </c>
      <c r="E1182" s="147">
        <v>4.386</v>
      </c>
      <c r="F1182" s="161">
        <v>0</v>
      </c>
      <c r="G1182" s="145">
        <v>0</v>
      </c>
      <c r="H1182" s="161">
        <v>0</v>
      </c>
      <c r="I1182" s="145">
        <v>1</v>
      </c>
      <c r="J1182" s="123">
        <v>0</v>
      </c>
      <c r="K1182" s="124">
        <v>0</v>
      </c>
      <c r="L1182" s="123">
        <v>1</v>
      </c>
      <c r="M1182" s="124">
        <v>0</v>
      </c>
      <c r="N1182" s="123">
        <v>0</v>
      </c>
      <c r="O1182" s="307">
        <v>1</v>
      </c>
    </row>
    <row r="1183" spans="1:15" ht="12.75">
      <c r="A1183" s="269">
        <v>224</v>
      </c>
      <c r="B1183" s="123">
        <v>1721</v>
      </c>
      <c r="C1183" s="124">
        <v>1</v>
      </c>
      <c r="D1183" s="123">
        <v>54</v>
      </c>
      <c r="E1183" s="147">
        <v>4.734</v>
      </c>
      <c r="F1183" s="161">
        <v>0</v>
      </c>
      <c r="G1183" s="145">
        <v>0</v>
      </c>
      <c r="H1183" s="161">
        <v>0</v>
      </c>
      <c r="I1183" s="145">
        <v>1</v>
      </c>
      <c r="J1183" s="123">
        <v>0</v>
      </c>
      <c r="K1183" s="124">
        <v>0</v>
      </c>
      <c r="L1183" s="123">
        <v>1</v>
      </c>
      <c r="M1183" s="124">
        <v>0</v>
      </c>
      <c r="N1183" s="123">
        <v>1</v>
      </c>
      <c r="O1183" s="307">
        <v>0</v>
      </c>
    </row>
    <row r="1184" spans="1:15" ht="12.75">
      <c r="A1184" s="270">
        <v>229</v>
      </c>
      <c r="B1184" s="129">
        <v>4534</v>
      </c>
      <c r="C1184" s="162">
        <v>0</v>
      </c>
      <c r="D1184" s="129">
        <v>52</v>
      </c>
      <c r="E1184" s="313">
        <v>4.809</v>
      </c>
      <c r="F1184" s="315">
        <v>0</v>
      </c>
      <c r="G1184" s="320">
        <v>0</v>
      </c>
      <c r="H1184" s="315">
        <v>0</v>
      </c>
      <c r="I1184" s="320">
        <v>1</v>
      </c>
      <c r="J1184" s="129">
        <v>0</v>
      </c>
      <c r="K1184" s="162">
        <v>0</v>
      </c>
      <c r="L1184" s="129">
        <v>1</v>
      </c>
      <c r="M1184" s="162">
        <v>0</v>
      </c>
      <c r="N1184" s="129">
        <v>0</v>
      </c>
      <c r="O1184" s="321">
        <v>1</v>
      </c>
    </row>
    <row r="1185" spans="9:12" ht="12.75">
      <c r="I1185" s="121">
        <f>SUM(I1173:I1184)</f>
        <v>12</v>
      </c>
      <c r="L1185" s="121">
        <f>SUM(L1173:L1184)</f>
        <v>12</v>
      </c>
    </row>
    <row r="1188" ht="12.75">
      <c r="A1188" s="200" t="s">
        <v>247</v>
      </c>
    </row>
    <row r="1189" spans="1:7" ht="13.5" thickBot="1">
      <c r="A1189" s="231" t="s">
        <v>2</v>
      </c>
      <c r="B1189" s="38" t="s">
        <v>35</v>
      </c>
      <c r="C1189" s="38" t="s">
        <v>4</v>
      </c>
      <c r="D1189" s="86" t="s">
        <v>34</v>
      </c>
      <c r="E1189" s="103" t="s">
        <v>197</v>
      </c>
      <c r="F1189" s="38" t="s">
        <v>225</v>
      </c>
      <c r="G1189" s="103" t="s">
        <v>226</v>
      </c>
    </row>
    <row r="1190" spans="1:7" ht="13.5" thickTop="1">
      <c r="A1190" s="93">
        <f aca="true" t="shared" si="0" ref="A1190:A1253">B3</f>
        <v>3231</v>
      </c>
      <c r="B1190" s="17">
        <f aca="true" t="shared" si="1" ref="B1190:B1253">E3</f>
        <v>3.199</v>
      </c>
      <c r="C1190" s="4">
        <f aca="true" t="shared" si="2" ref="C1190:D1209">C3</f>
        <v>1</v>
      </c>
      <c r="D1190" s="114">
        <f t="shared" si="2"/>
        <v>52</v>
      </c>
      <c r="E1190" s="15">
        <f aca="true" t="shared" si="3" ref="E1190:E1253">IF(F3=1,25,IF(G3=1,50,IF(H3=1,75,100)))</f>
        <v>50</v>
      </c>
      <c r="F1190" s="4">
        <f aca="true" t="shared" si="4" ref="F1190:F1253">IF(J3=1,33,IF(K3=1,66,99))</f>
        <v>66</v>
      </c>
      <c r="G1190" s="15">
        <f aca="true" t="shared" si="5" ref="G1190:G1253">IF(M3=1,33,IF(N3=1,66,99))</f>
        <v>99</v>
      </c>
    </row>
    <row r="1191" spans="1:7" ht="12.75">
      <c r="A1191" s="93">
        <f t="shared" si="0"/>
        <v>855</v>
      </c>
      <c r="B1191" s="17">
        <f t="shared" si="1"/>
        <v>4.056</v>
      </c>
      <c r="C1191" s="4">
        <f t="shared" si="2"/>
        <v>0</v>
      </c>
      <c r="D1191" s="114">
        <f t="shared" si="2"/>
        <v>53</v>
      </c>
      <c r="E1191" s="15">
        <f t="shared" si="3"/>
        <v>100</v>
      </c>
      <c r="F1191" s="4">
        <f t="shared" si="4"/>
        <v>33</v>
      </c>
      <c r="G1191" s="15">
        <f t="shared" si="5"/>
        <v>33</v>
      </c>
    </row>
    <row r="1192" spans="1:7" ht="12.75">
      <c r="A1192" s="93">
        <f t="shared" si="0"/>
        <v>2318</v>
      </c>
      <c r="B1192" s="17">
        <f t="shared" si="1"/>
        <v>3.346</v>
      </c>
      <c r="C1192" s="4">
        <f t="shared" si="2"/>
        <v>0</v>
      </c>
      <c r="D1192" s="114">
        <f t="shared" si="2"/>
        <v>53</v>
      </c>
      <c r="E1192" s="15">
        <f t="shared" si="3"/>
        <v>50</v>
      </c>
      <c r="F1192" s="4">
        <f t="shared" si="4"/>
        <v>66</v>
      </c>
      <c r="G1192" s="15">
        <f t="shared" si="5"/>
        <v>66</v>
      </c>
    </row>
    <row r="1193" spans="1:7" ht="12.75">
      <c r="A1193" s="93">
        <f t="shared" si="0"/>
        <v>1608</v>
      </c>
      <c r="B1193" s="17">
        <f t="shared" si="1"/>
        <v>3.15</v>
      </c>
      <c r="C1193" s="4">
        <f t="shared" si="2"/>
        <v>0</v>
      </c>
      <c r="D1193" s="114">
        <f t="shared" si="2"/>
        <v>54</v>
      </c>
      <c r="E1193" s="15">
        <f t="shared" si="3"/>
        <v>50</v>
      </c>
      <c r="F1193" s="4">
        <f t="shared" si="4"/>
        <v>66</v>
      </c>
      <c r="G1193" s="15">
        <f t="shared" si="5"/>
        <v>33</v>
      </c>
    </row>
    <row r="1194" spans="1:7" ht="12.75">
      <c r="A1194" s="93">
        <f t="shared" si="0"/>
        <v>4572</v>
      </c>
      <c r="B1194" s="17">
        <f t="shared" si="1"/>
        <v>3.098</v>
      </c>
      <c r="C1194" s="4">
        <f t="shared" si="2"/>
        <v>1</v>
      </c>
      <c r="D1194" s="114">
        <f t="shared" si="2"/>
        <v>54</v>
      </c>
      <c r="E1194" s="15">
        <f t="shared" si="3"/>
        <v>50</v>
      </c>
      <c r="F1194" s="4">
        <f t="shared" si="4"/>
        <v>99</v>
      </c>
      <c r="G1194" s="15">
        <f t="shared" si="5"/>
        <v>99</v>
      </c>
    </row>
    <row r="1195" spans="1:7" ht="12.75">
      <c r="A1195" s="93">
        <f t="shared" si="0"/>
        <v>253</v>
      </c>
      <c r="B1195" s="17">
        <f t="shared" si="1"/>
        <v>3.347</v>
      </c>
      <c r="C1195" s="4">
        <f t="shared" si="2"/>
        <v>0</v>
      </c>
      <c r="D1195" s="114">
        <f t="shared" si="2"/>
        <v>55</v>
      </c>
      <c r="E1195" s="15">
        <f t="shared" si="3"/>
        <v>50</v>
      </c>
      <c r="F1195" s="4">
        <f t="shared" si="4"/>
        <v>66</v>
      </c>
      <c r="G1195" s="15">
        <f t="shared" si="5"/>
        <v>66</v>
      </c>
    </row>
    <row r="1196" spans="1:7" ht="12.75">
      <c r="A1196" s="93">
        <f t="shared" si="0"/>
        <v>336</v>
      </c>
      <c r="B1196" s="17">
        <f t="shared" si="1"/>
        <v>3.838</v>
      </c>
      <c r="C1196" s="4">
        <f t="shared" si="2"/>
        <v>0</v>
      </c>
      <c r="D1196" s="114">
        <f t="shared" si="2"/>
        <v>52</v>
      </c>
      <c r="E1196" s="15">
        <f t="shared" si="3"/>
        <v>100</v>
      </c>
      <c r="F1196" s="4">
        <f t="shared" si="4"/>
        <v>99</v>
      </c>
      <c r="G1196" s="15">
        <f t="shared" si="5"/>
        <v>66</v>
      </c>
    </row>
    <row r="1197" spans="1:7" ht="12.75">
      <c r="A1197" s="93">
        <f t="shared" si="0"/>
        <v>237</v>
      </c>
      <c r="B1197" s="17">
        <f t="shared" si="1"/>
        <v>3.156</v>
      </c>
      <c r="C1197" s="4">
        <f t="shared" si="2"/>
        <v>1</v>
      </c>
      <c r="D1197" s="114">
        <f t="shared" si="2"/>
        <v>52</v>
      </c>
      <c r="E1197" s="15">
        <f t="shared" si="3"/>
        <v>50</v>
      </c>
      <c r="F1197" s="4">
        <f t="shared" si="4"/>
        <v>66</v>
      </c>
      <c r="G1197" s="15">
        <f t="shared" si="5"/>
        <v>66</v>
      </c>
    </row>
    <row r="1198" spans="1:7" ht="12.75">
      <c r="A1198" s="93">
        <f t="shared" si="0"/>
        <v>2422</v>
      </c>
      <c r="B1198" s="17">
        <f t="shared" si="1"/>
        <v>3.245</v>
      </c>
      <c r="C1198" s="4">
        <f t="shared" si="2"/>
        <v>0</v>
      </c>
      <c r="D1198" s="114">
        <f t="shared" si="2"/>
        <v>55</v>
      </c>
      <c r="E1198" s="15">
        <f t="shared" si="3"/>
        <v>50</v>
      </c>
      <c r="F1198" s="4">
        <f t="shared" si="4"/>
        <v>66</v>
      </c>
      <c r="G1198" s="15">
        <f t="shared" si="5"/>
        <v>33</v>
      </c>
    </row>
    <row r="1199" spans="1:7" ht="12.75">
      <c r="A1199" s="93">
        <f t="shared" si="0"/>
        <v>2043</v>
      </c>
      <c r="B1199" s="17">
        <f t="shared" si="1"/>
        <v>3.152</v>
      </c>
      <c r="C1199" s="4">
        <f t="shared" si="2"/>
        <v>0</v>
      </c>
      <c r="D1199" s="114">
        <f t="shared" si="2"/>
        <v>55</v>
      </c>
      <c r="E1199" s="15">
        <f t="shared" si="3"/>
        <v>50</v>
      </c>
      <c r="F1199" s="4">
        <f t="shared" si="4"/>
        <v>66</v>
      </c>
      <c r="G1199" s="15">
        <f t="shared" si="5"/>
        <v>33</v>
      </c>
    </row>
    <row r="1200" spans="1:7" ht="12.75">
      <c r="A1200" s="93">
        <f t="shared" si="0"/>
        <v>1390</v>
      </c>
      <c r="B1200" s="17">
        <f t="shared" si="1"/>
        <v>3.999</v>
      </c>
      <c r="C1200" s="4">
        <f t="shared" si="2"/>
        <v>1</v>
      </c>
      <c r="D1200" s="114">
        <f t="shared" si="2"/>
        <v>53</v>
      </c>
      <c r="E1200" s="15">
        <f t="shared" si="3"/>
        <v>100</v>
      </c>
      <c r="F1200" s="4">
        <f t="shared" si="4"/>
        <v>33</v>
      </c>
      <c r="G1200" s="15">
        <f t="shared" si="5"/>
        <v>33</v>
      </c>
    </row>
    <row r="1201" spans="1:7" ht="12.75">
      <c r="A1201" s="93">
        <f t="shared" si="0"/>
        <v>3951</v>
      </c>
      <c r="B1201" s="17">
        <f t="shared" si="1"/>
        <v>3.35</v>
      </c>
      <c r="C1201" s="4">
        <f t="shared" si="2"/>
        <v>0</v>
      </c>
      <c r="D1201" s="114">
        <f t="shared" si="2"/>
        <v>53</v>
      </c>
      <c r="E1201" s="15">
        <f t="shared" si="3"/>
        <v>50</v>
      </c>
      <c r="F1201" s="4">
        <f t="shared" si="4"/>
        <v>99</v>
      </c>
      <c r="G1201" s="15">
        <f t="shared" si="5"/>
        <v>66</v>
      </c>
    </row>
    <row r="1202" spans="1:7" ht="12.75">
      <c r="A1202" s="93">
        <f t="shared" si="0"/>
        <v>3710</v>
      </c>
      <c r="B1202" s="17">
        <f t="shared" si="1"/>
        <v>3.586</v>
      </c>
      <c r="C1202" s="4">
        <f t="shared" si="2"/>
        <v>1</v>
      </c>
      <c r="D1202" s="114">
        <f t="shared" si="2"/>
        <v>52</v>
      </c>
      <c r="E1202" s="15">
        <f t="shared" si="3"/>
        <v>75</v>
      </c>
      <c r="F1202" s="4">
        <f t="shared" si="4"/>
        <v>99</v>
      </c>
      <c r="G1202" s="15">
        <f t="shared" si="5"/>
        <v>66</v>
      </c>
    </row>
    <row r="1203" spans="1:7" ht="12.75">
      <c r="A1203" s="93">
        <f t="shared" si="0"/>
        <v>930</v>
      </c>
      <c r="B1203" s="17">
        <f t="shared" si="1"/>
        <v>3.321</v>
      </c>
      <c r="C1203" s="4">
        <f t="shared" si="2"/>
        <v>0</v>
      </c>
      <c r="D1203" s="114">
        <f t="shared" si="2"/>
        <v>52</v>
      </c>
      <c r="E1203" s="15">
        <f t="shared" si="3"/>
        <v>50</v>
      </c>
      <c r="F1203" s="4">
        <f t="shared" si="4"/>
        <v>66</v>
      </c>
      <c r="G1203" s="15">
        <f t="shared" si="5"/>
        <v>66</v>
      </c>
    </row>
    <row r="1204" spans="1:7" ht="12.75">
      <c r="A1204" s="93">
        <f t="shared" si="0"/>
        <v>3539</v>
      </c>
      <c r="B1204" s="17">
        <f t="shared" si="1"/>
        <v>4.519</v>
      </c>
      <c r="C1204" s="4">
        <f t="shared" si="2"/>
        <v>0</v>
      </c>
      <c r="D1204" s="114">
        <f t="shared" si="2"/>
        <v>55</v>
      </c>
      <c r="E1204" s="15">
        <f t="shared" si="3"/>
        <v>100</v>
      </c>
      <c r="F1204" s="4">
        <f t="shared" si="4"/>
        <v>66</v>
      </c>
      <c r="G1204" s="15">
        <f t="shared" si="5"/>
        <v>66</v>
      </c>
    </row>
    <row r="1205" spans="1:7" ht="12.75">
      <c r="A1205" s="93">
        <f t="shared" si="0"/>
        <v>1828</v>
      </c>
      <c r="B1205" s="17">
        <f t="shared" si="1"/>
        <v>2.348</v>
      </c>
      <c r="C1205" s="4">
        <f t="shared" si="2"/>
        <v>1</v>
      </c>
      <c r="D1205" s="114">
        <f t="shared" si="2"/>
        <v>53</v>
      </c>
      <c r="E1205" s="15">
        <f t="shared" si="3"/>
        <v>25</v>
      </c>
      <c r="F1205" s="4">
        <f t="shared" si="4"/>
        <v>99</v>
      </c>
      <c r="G1205" s="15">
        <f t="shared" si="5"/>
        <v>66</v>
      </c>
    </row>
    <row r="1206" spans="1:7" ht="12.75">
      <c r="A1206" s="93">
        <f t="shared" si="0"/>
        <v>544</v>
      </c>
      <c r="B1206" s="17">
        <f t="shared" si="1"/>
        <v>3.36</v>
      </c>
      <c r="C1206" s="4">
        <f t="shared" si="2"/>
        <v>1</v>
      </c>
      <c r="D1206" s="114">
        <f t="shared" si="2"/>
        <v>56</v>
      </c>
      <c r="E1206" s="15">
        <f t="shared" si="3"/>
        <v>50</v>
      </c>
      <c r="F1206" s="4">
        <f t="shared" si="4"/>
        <v>66</v>
      </c>
      <c r="G1206" s="15">
        <f t="shared" si="5"/>
        <v>33</v>
      </c>
    </row>
    <row r="1207" spans="1:7" ht="12.75">
      <c r="A1207" s="93">
        <f t="shared" si="0"/>
        <v>3626</v>
      </c>
      <c r="B1207" s="17">
        <f t="shared" si="1"/>
        <v>3.394</v>
      </c>
      <c r="C1207" s="4">
        <f t="shared" si="2"/>
        <v>1</v>
      </c>
      <c r="D1207" s="114">
        <f t="shared" si="2"/>
        <v>54</v>
      </c>
      <c r="E1207" s="15">
        <f t="shared" si="3"/>
        <v>75</v>
      </c>
      <c r="F1207" s="4">
        <f t="shared" si="4"/>
        <v>66</v>
      </c>
      <c r="G1207" s="15">
        <f t="shared" si="5"/>
        <v>33</v>
      </c>
    </row>
    <row r="1208" spans="1:7" ht="12.75">
      <c r="A1208" s="93">
        <f t="shared" si="0"/>
        <v>3381</v>
      </c>
      <c r="B1208" s="17">
        <f t="shared" si="1"/>
        <v>3.779</v>
      </c>
      <c r="C1208" s="4">
        <f t="shared" si="2"/>
        <v>1</v>
      </c>
      <c r="D1208" s="114">
        <f t="shared" si="2"/>
        <v>54</v>
      </c>
      <c r="E1208" s="15">
        <f t="shared" si="3"/>
        <v>100</v>
      </c>
      <c r="F1208" s="4">
        <f t="shared" si="4"/>
        <v>66</v>
      </c>
      <c r="G1208" s="15">
        <f t="shared" si="5"/>
        <v>66</v>
      </c>
    </row>
    <row r="1209" spans="1:7" ht="12.75">
      <c r="A1209" s="93">
        <f t="shared" si="0"/>
        <v>1207</v>
      </c>
      <c r="B1209" s="17">
        <f t="shared" si="1"/>
        <v>3.751</v>
      </c>
      <c r="C1209" s="4">
        <f t="shared" si="2"/>
        <v>1</v>
      </c>
      <c r="D1209" s="114">
        <f t="shared" si="2"/>
        <v>54</v>
      </c>
      <c r="E1209" s="15">
        <f t="shared" si="3"/>
        <v>75</v>
      </c>
      <c r="F1209" s="4">
        <f t="shared" si="4"/>
        <v>66</v>
      </c>
      <c r="G1209" s="15">
        <f t="shared" si="5"/>
        <v>66</v>
      </c>
    </row>
    <row r="1210" spans="1:7" ht="12.75">
      <c r="A1210" s="93">
        <f t="shared" si="0"/>
        <v>4584</v>
      </c>
      <c r="B1210" s="17">
        <f t="shared" si="1"/>
        <v>4.313</v>
      </c>
      <c r="C1210" s="4">
        <f aca="true" t="shared" si="6" ref="C1210:D1229">C23</f>
        <v>1</v>
      </c>
      <c r="D1210" s="114">
        <f t="shared" si="6"/>
        <v>52</v>
      </c>
      <c r="E1210" s="15">
        <f t="shared" si="3"/>
        <v>100</v>
      </c>
      <c r="F1210" s="4">
        <f t="shared" si="4"/>
        <v>66</v>
      </c>
      <c r="G1210" s="15">
        <f t="shared" si="5"/>
        <v>66</v>
      </c>
    </row>
    <row r="1211" spans="1:7" ht="12.75">
      <c r="A1211" s="93">
        <f t="shared" si="0"/>
        <v>1428</v>
      </c>
      <c r="B1211" s="17">
        <f t="shared" si="1"/>
        <v>2.399</v>
      </c>
      <c r="C1211" s="4">
        <f t="shared" si="6"/>
        <v>1</v>
      </c>
      <c r="D1211" s="114">
        <f t="shared" si="6"/>
        <v>53</v>
      </c>
      <c r="E1211" s="15">
        <f t="shared" si="3"/>
        <v>25</v>
      </c>
      <c r="F1211" s="4">
        <f t="shared" si="4"/>
        <v>33</v>
      </c>
      <c r="G1211" s="15">
        <f t="shared" si="5"/>
        <v>33</v>
      </c>
    </row>
    <row r="1212" spans="1:7" ht="12.75">
      <c r="A1212" s="93">
        <f t="shared" si="0"/>
        <v>996</v>
      </c>
      <c r="B1212" s="17">
        <f t="shared" si="1"/>
        <v>4.243</v>
      </c>
      <c r="C1212" s="4">
        <f t="shared" si="6"/>
        <v>0</v>
      </c>
      <c r="D1212" s="114">
        <f t="shared" si="6"/>
        <v>53</v>
      </c>
      <c r="E1212" s="15">
        <f t="shared" si="3"/>
        <v>100</v>
      </c>
      <c r="F1212" s="4">
        <f t="shared" si="4"/>
        <v>99</v>
      </c>
      <c r="G1212" s="15">
        <f t="shared" si="5"/>
        <v>66</v>
      </c>
    </row>
    <row r="1213" spans="1:7" ht="12.75">
      <c r="A1213" s="93">
        <f t="shared" si="0"/>
        <v>212</v>
      </c>
      <c r="B1213" s="17">
        <f t="shared" si="1"/>
        <v>3.301</v>
      </c>
      <c r="C1213" s="4">
        <f t="shared" si="6"/>
        <v>1</v>
      </c>
      <c r="D1213" s="114">
        <f t="shared" si="6"/>
        <v>51</v>
      </c>
      <c r="E1213" s="15">
        <f t="shared" si="3"/>
        <v>50</v>
      </c>
      <c r="F1213" s="4">
        <f t="shared" si="4"/>
        <v>66</v>
      </c>
      <c r="G1213" s="15">
        <f t="shared" si="5"/>
        <v>33</v>
      </c>
    </row>
    <row r="1214" spans="1:7" ht="12.75">
      <c r="A1214" s="93">
        <f t="shared" si="0"/>
        <v>2375</v>
      </c>
      <c r="B1214" s="17">
        <f t="shared" si="1"/>
        <v>2.105</v>
      </c>
      <c r="C1214" s="4">
        <f t="shared" si="6"/>
        <v>0</v>
      </c>
      <c r="D1214" s="114">
        <f t="shared" si="6"/>
        <v>51</v>
      </c>
      <c r="E1214" s="15">
        <f t="shared" si="3"/>
        <v>25</v>
      </c>
      <c r="F1214" s="4">
        <f t="shared" si="4"/>
        <v>66</v>
      </c>
      <c r="G1214" s="15">
        <f t="shared" si="5"/>
        <v>66</v>
      </c>
    </row>
    <row r="1215" spans="1:7" ht="12.75">
      <c r="A1215" s="93">
        <f t="shared" si="0"/>
        <v>1485</v>
      </c>
      <c r="B1215" s="17">
        <f t="shared" si="1"/>
        <v>3.464</v>
      </c>
      <c r="C1215" s="4">
        <f t="shared" si="6"/>
        <v>1</v>
      </c>
      <c r="D1215" s="114">
        <f t="shared" si="6"/>
        <v>54</v>
      </c>
      <c r="E1215" s="15">
        <f t="shared" si="3"/>
        <v>50</v>
      </c>
      <c r="F1215" s="4">
        <f t="shared" si="4"/>
        <v>66</v>
      </c>
      <c r="G1215" s="15">
        <f t="shared" si="5"/>
        <v>66</v>
      </c>
    </row>
    <row r="1216" spans="1:7" ht="12.75">
      <c r="A1216" s="93">
        <f t="shared" si="0"/>
        <v>853</v>
      </c>
      <c r="B1216" s="17">
        <f t="shared" si="1"/>
        <v>3.341</v>
      </c>
      <c r="C1216" s="4">
        <f t="shared" si="6"/>
        <v>1</v>
      </c>
      <c r="D1216" s="114">
        <f t="shared" si="6"/>
        <v>56</v>
      </c>
      <c r="E1216" s="15">
        <f t="shared" si="3"/>
        <v>50</v>
      </c>
      <c r="F1216" s="4">
        <f t="shared" si="4"/>
        <v>66</v>
      </c>
      <c r="G1216" s="15">
        <f t="shared" si="5"/>
        <v>66</v>
      </c>
    </row>
    <row r="1217" spans="1:7" ht="12.75">
      <c r="A1217" s="93">
        <f t="shared" si="0"/>
        <v>2612</v>
      </c>
      <c r="B1217" s="17">
        <f t="shared" si="1"/>
        <v>3.242</v>
      </c>
      <c r="C1217" s="4">
        <f t="shared" si="6"/>
        <v>0</v>
      </c>
      <c r="D1217" s="114">
        <f t="shared" si="6"/>
        <v>52</v>
      </c>
      <c r="E1217" s="15">
        <f t="shared" si="3"/>
        <v>50</v>
      </c>
      <c r="F1217" s="4">
        <f t="shared" si="4"/>
        <v>66</v>
      </c>
      <c r="G1217" s="15">
        <f t="shared" si="5"/>
        <v>66</v>
      </c>
    </row>
    <row r="1218" spans="1:7" ht="12.75">
      <c r="A1218" s="93">
        <f t="shared" si="0"/>
        <v>3959</v>
      </c>
      <c r="B1218" s="17">
        <f t="shared" si="1"/>
        <v>3.216</v>
      </c>
      <c r="C1218" s="4">
        <f t="shared" si="6"/>
        <v>1</v>
      </c>
      <c r="D1218" s="114">
        <f t="shared" si="6"/>
        <v>54</v>
      </c>
      <c r="E1218" s="15">
        <f t="shared" si="3"/>
        <v>50</v>
      </c>
      <c r="F1218" s="4">
        <f t="shared" si="4"/>
        <v>66</v>
      </c>
      <c r="G1218" s="15">
        <f t="shared" si="5"/>
        <v>33</v>
      </c>
    </row>
    <row r="1219" spans="1:7" ht="12.75">
      <c r="A1219" s="93">
        <f t="shared" si="0"/>
        <v>1808</v>
      </c>
      <c r="B1219" s="17">
        <f t="shared" si="1"/>
        <v>3.127</v>
      </c>
      <c r="C1219" s="4">
        <f t="shared" si="6"/>
        <v>1</v>
      </c>
      <c r="D1219" s="114">
        <f t="shared" si="6"/>
        <v>53</v>
      </c>
      <c r="E1219" s="15">
        <f t="shared" si="3"/>
        <v>50</v>
      </c>
      <c r="F1219" s="4">
        <f t="shared" si="4"/>
        <v>66</v>
      </c>
      <c r="G1219" s="15">
        <f t="shared" si="5"/>
        <v>33</v>
      </c>
    </row>
    <row r="1220" spans="1:7" ht="12.75">
      <c r="A1220" s="93">
        <f t="shared" si="0"/>
        <v>3776</v>
      </c>
      <c r="B1220" s="17">
        <f t="shared" si="1"/>
        <v>4.469</v>
      </c>
      <c r="C1220" s="4">
        <f t="shared" si="6"/>
        <v>1</v>
      </c>
      <c r="D1220" s="114">
        <f t="shared" si="6"/>
        <v>56</v>
      </c>
      <c r="E1220" s="15">
        <f t="shared" si="3"/>
        <v>100</v>
      </c>
      <c r="F1220" s="4">
        <f t="shared" si="4"/>
        <v>66</v>
      </c>
      <c r="G1220" s="15">
        <f t="shared" si="5"/>
        <v>66</v>
      </c>
    </row>
    <row r="1221" spans="1:7" ht="12.75">
      <c r="A1221" s="93">
        <f t="shared" si="0"/>
        <v>854</v>
      </c>
      <c r="B1221" s="17">
        <f t="shared" si="1"/>
        <v>3.057</v>
      </c>
      <c r="C1221" s="4">
        <f t="shared" si="6"/>
        <v>0</v>
      </c>
      <c r="D1221" s="114">
        <f t="shared" si="6"/>
        <v>53</v>
      </c>
      <c r="E1221" s="15">
        <f t="shared" si="3"/>
        <v>25</v>
      </c>
      <c r="F1221" s="4">
        <f t="shared" si="4"/>
        <v>66</v>
      </c>
      <c r="G1221" s="15">
        <f t="shared" si="5"/>
        <v>33</v>
      </c>
    </row>
    <row r="1222" spans="1:7" ht="12.75">
      <c r="A1222" s="93">
        <f t="shared" si="0"/>
        <v>3950</v>
      </c>
      <c r="B1222" s="17">
        <f t="shared" si="1"/>
        <v>3.524</v>
      </c>
      <c r="C1222" s="4">
        <f t="shared" si="6"/>
        <v>1</v>
      </c>
      <c r="D1222" s="114">
        <f t="shared" si="6"/>
        <v>55</v>
      </c>
      <c r="E1222" s="15">
        <f t="shared" si="3"/>
        <v>75</v>
      </c>
      <c r="F1222" s="4">
        <f t="shared" si="4"/>
        <v>66</v>
      </c>
      <c r="G1222" s="15">
        <f t="shared" si="5"/>
        <v>33</v>
      </c>
    </row>
    <row r="1223" spans="1:7" ht="12.75">
      <c r="A1223" s="93">
        <f t="shared" si="0"/>
        <v>3476</v>
      </c>
      <c r="B1223" s="17">
        <f t="shared" si="1"/>
        <v>3.65</v>
      </c>
      <c r="C1223" s="4">
        <f t="shared" si="6"/>
        <v>1</v>
      </c>
      <c r="D1223" s="114">
        <f t="shared" si="6"/>
        <v>55</v>
      </c>
      <c r="E1223" s="15">
        <f t="shared" si="3"/>
        <v>75</v>
      </c>
      <c r="F1223" s="4">
        <f t="shared" si="4"/>
        <v>66</v>
      </c>
      <c r="G1223" s="15">
        <f t="shared" si="5"/>
        <v>99</v>
      </c>
    </row>
    <row r="1224" spans="1:7" ht="12.75">
      <c r="A1224" s="93">
        <f t="shared" si="0"/>
        <v>3106</v>
      </c>
      <c r="B1224" s="17">
        <f t="shared" si="1"/>
        <v>3.449</v>
      </c>
      <c r="C1224" s="4">
        <f t="shared" si="6"/>
        <v>0</v>
      </c>
      <c r="D1224" s="114">
        <f t="shared" si="6"/>
        <v>56</v>
      </c>
      <c r="E1224" s="15">
        <f t="shared" si="3"/>
        <v>75</v>
      </c>
      <c r="F1224" s="4">
        <f t="shared" si="4"/>
        <v>66</v>
      </c>
      <c r="G1224" s="15">
        <f t="shared" si="5"/>
        <v>66</v>
      </c>
    </row>
    <row r="1225" spans="1:7" ht="12.75">
      <c r="A1225" s="93">
        <f t="shared" si="0"/>
        <v>2462</v>
      </c>
      <c r="B1225" s="17">
        <f t="shared" si="1"/>
        <v>2.097</v>
      </c>
      <c r="C1225" s="4">
        <f t="shared" si="6"/>
        <v>1</v>
      </c>
      <c r="D1225" s="114">
        <f t="shared" si="6"/>
        <v>53</v>
      </c>
      <c r="E1225" s="15">
        <f t="shared" si="3"/>
        <v>25</v>
      </c>
      <c r="F1225" s="4">
        <f t="shared" si="4"/>
        <v>66</v>
      </c>
      <c r="G1225" s="15">
        <f t="shared" si="5"/>
        <v>66</v>
      </c>
    </row>
    <row r="1226" spans="1:7" ht="12.75">
      <c r="A1226" s="93">
        <f t="shared" si="0"/>
        <v>887</v>
      </c>
      <c r="B1226" s="17">
        <f t="shared" si="1"/>
        <v>3.553</v>
      </c>
      <c r="C1226" s="4">
        <f t="shared" si="6"/>
        <v>0</v>
      </c>
      <c r="D1226" s="114">
        <f t="shared" si="6"/>
        <v>55</v>
      </c>
      <c r="E1226" s="15">
        <f t="shared" si="3"/>
        <v>75</v>
      </c>
      <c r="F1226" s="4">
        <f t="shared" si="4"/>
        <v>66</v>
      </c>
      <c r="G1226" s="15">
        <f t="shared" si="5"/>
        <v>66</v>
      </c>
    </row>
    <row r="1227" spans="1:7" ht="12.75">
      <c r="A1227" s="93">
        <f t="shared" si="0"/>
        <v>4540</v>
      </c>
      <c r="B1227" s="17">
        <f t="shared" si="1"/>
        <v>4.173</v>
      </c>
      <c r="C1227" s="4">
        <f t="shared" si="6"/>
        <v>0</v>
      </c>
      <c r="D1227" s="114">
        <f t="shared" si="6"/>
        <v>54</v>
      </c>
      <c r="E1227" s="15">
        <f t="shared" si="3"/>
        <v>100</v>
      </c>
      <c r="F1227" s="4">
        <f t="shared" si="4"/>
        <v>99</v>
      </c>
      <c r="G1227" s="15">
        <f t="shared" si="5"/>
        <v>66</v>
      </c>
    </row>
    <row r="1228" spans="1:7" ht="12.75">
      <c r="A1228" s="93">
        <f t="shared" si="0"/>
        <v>2810</v>
      </c>
      <c r="B1228" s="17">
        <f t="shared" si="1"/>
        <v>3.337</v>
      </c>
      <c r="C1228" s="4">
        <f t="shared" si="6"/>
        <v>0</v>
      </c>
      <c r="D1228" s="114">
        <f t="shared" si="6"/>
        <v>53</v>
      </c>
      <c r="E1228" s="15">
        <f t="shared" si="3"/>
        <v>50</v>
      </c>
      <c r="F1228" s="4">
        <f t="shared" si="4"/>
        <v>66</v>
      </c>
      <c r="G1228" s="15">
        <f t="shared" si="5"/>
        <v>99</v>
      </c>
    </row>
    <row r="1229" spans="1:7" ht="12.75">
      <c r="A1229" s="93">
        <f t="shared" si="0"/>
        <v>3156</v>
      </c>
      <c r="B1229" s="17">
        <f t="shared" si="1"/>
        <v>3.747</v>
      </c>
      <c r="C1229" s="4">
        <f t="shared" si="6"/>
        <v>0</v>
      </c>
      <c r="D1229" s="114">
        <f t="shared" si="6"/>
        <v>53</v>
      </c>
      <c r="E1229" s="15">
        <f t="shared" si="3"/>
        <v>75</v>
      </c>
      <c r="F1229" s="4">
        <f t="shared" si="4"/>
        <v>66</v>
      </c>
      <c r="G1229" s="15">
        <f t="shared" si="5"/>
        <v>66</v>
      </c>
    </row>
    <row r="1230" spans="1:7" ht="12.75">
      <c r="A1230" s="93">
        <f t="shared" si="0"/>
        <v>3147</v>
      </c>
      <c r="B1230" s="17">
        <f t="shared" si="1"/>
        <v>2.393</v>
      </c>
      <c r="C1230" s="4">
        <f aca="true" t="shared" si="7" ref="C1230:D1249">C43</f>
        <v>0</v>
      </c>
      <c r="D1230" s="114">
        <f t="shared" si="7"/>
        <v>52</v>
      </c>
      <c r="E1230" s="15">
        <f t="shared" si="3"/>
        <v>25</v>
      </c>
      <c r="F1230" s="4">
        <f t="shared" si="4"/>
        <v>66</v>
      </c>
      <c r="G1230" s="15">
        <f t="shared" si="5"/>
        <v>99</v>
      </c>
    </row>
    <row r="1231" spans="1:7" ht="12.75">
      <c r="A1231" s="93">
        <f t="shared" si="0"/>
        <v>3632</v>
      </c>
      <c r="B1231" s="17">
        <f t="shared" si="1"/>
        <v>3.468</v>
      </c>
      <c r="C1231" s="4">
        <f t="shared" si="7"/>
        <v>1</v>
      </c>
      <c r="D1231" s="114">
        <f t="shared" si="7"/>
        <v>54</v>
      </c>
      <c r="E1231" s="15">
        <f t="shared" si="3"/>
        <v>50</v>
      </c>
      <c r="F1231" s="4">
        <f t="shared" si="4"/>
        <v>66</v>
      </c>
      <c r="G1231" s="15">
        <f t="shared" si="5"/>
        <v>33</v>
      </c>
    </row>
    <row r="1232" spans="1:7" ht="12.75">
      <c r="A1232" s="93">
        <f t="shared" si="0"/>
        <v>2278</v>
      </c>
      <c r="B1232" s="17">
        <f t="shared" si="1"/>
        <v>3.654</v>
      </c>
      <c r="C1232" s="4">
        <f t="shared" si="7"/>
        <v>1</v>
      </c>
      <c r="D1232" s="114">
        <f t="shared" si="7"/>
        <v>55</v>
      </c>
      <c r="E1232" s="15">
        <f t="shared" si="3"/>
        <v>75</v>
      </c>
      <c r="F1232" s="4">
        <f t="shared" si="4"/>
        <v>99</v>
      </c>
      <c r="G1232" s="15">
        <f t="shared" si="5"/>
        <v>99</v>
      </c>
    </row>
    <row r="1233" spans="1:7" ht="12.75">
      <c r="A1233" s="93">
        <f t="shared" si="0"/>
        <v>750</v>
      </c>
      <c r="B1233" s="17">
        <f t="shared" si="1"/>
        <v>3.231</v>
      </c>
      <c r="C1233" s="4">
        <f t="shared" si="7"/>
        <v>0</v>
      </c>
      <c r="D1233" s="114">
        <f t="shared" si="7"/>
        <v>53</v>
      </c>
      <c r="E1233" s="15">
        <f t="shared" si="3"/>
        <v>50</v>
      </c>
      <c r="F1233" s="4">
        <f t="shared" si="4"/>
        <v>99</v>
      </c>
      <c r="G1233" s="15">
        <f t="shared" si="5"/>
        <v>66</v>
      </c>
    </row>
    <row r="1234" spans="1:7" ht="12.75">
      <c r="A1234" s="93">
        <f t="shared" si="0"/>
        <v>3149</v>
      </c>
      <c r="B1234" s="17">
        <f t="shared" si="1"/>
        <v>3.541</v>
      </c>
      <c r="C1234" s="4">
        <f t="shared" si="7"/>
        <v>1</v>
      </c>
      <c r="D1234" s="114">
        <f t="shared" si="7"/>
        <v>54</v>
      </c>
      <c r="E1234" s="15">
        <f t="shared" si="3"/>
        <v>75</v>
      </c>
      <c r="F1234" s="4">
        <f t="shared" si="4"/>
        <v>66</v>
      </c>
      <c r="G1234" s="15">
        <f t="shared" si="5"/>
        <v>99</v>
      </c>
    </row>
    <row r="1235" spans="1:7" ht="12.75">
      <c r="A1235" s="93">
        <f t="shared" si="0"/>
        <v>1478</v>
      </c>
      <c r="B1235" s="17">
        <f t="shared" si="1"/>
        <v>3.593</v>
      </c>
      <c r="C1235" s="4">
        <f t="shared" si="7"/>
        <v>0</v>
      </c>
      <c r="D1235" s="114">
        <f t="shared" si="7"/>
        <v>54</v>
      </c>
      <c r="E1235" s="15">
        <f t="shared" si="3"/>
        <v>75</v>
      </c>
      <c r="F1235" s="4">
        <f t="shared" si="4"/>
        <v>33</v>
      </c>
      <c r="G1235" s="15">
        <f t="shared" si="5"/>
        <v>33</v>
      </c>
    </row>
    <row r="1236" spans="1:7" ht="12.75">
      <c r="A1236" s="93">
        <f t="shared" si="0"/>
        <v>3849</v>
      </c>
      <c r="B1236" s="17">
        <f t="shared" si="1"/>
        <v>3.001</v>
      </c>
      <c r="C1236" s="4">
        <f t="shared" si="7"/>
        <v>1</v>
      </c>
      <c r="D1236" s="114">
        <f t="shared" si="7"/>
        <v>55</v>
      </c>
      <c r="E1236" s="15">
        <f t="shared" si="3"/>
        <v>50</v>
      </c>
      <c r="F1236" s="4">
        <f t="shared" si="4"/>
        <v>33</v>
      </c>
      <c r="G1236" s="15">
        <f t="shared" si="5"/>
        <v>33</v>
      </c>
    </row>
    <row r="1237" spans="1:7" ht="12.75">
      <c r="A1237" s="93">
        <f t="shared" si="0"/>
        <v>1169</v>
      </c>
      <c r="B1237" s="17">
        <f t="shared" si="1"/>
        <v>3.841</v>
      </c>
      <c r="C1237" s="4">
        <f t="shared" si="7"/>
        <v>1</v>
      </c>
      <c r="D1237" s="114">
        <f t="shared" si="7"/>
        <v>55</v>
      </c>
      <c r="E1237" s="15">
        <f t="shared" si="3"/>
        <v>100</v>
      </c>
      <c r="F1237" s="4">
        <f t="shared" si="4"/>
        <v>99</v>
      </c>
      <c r="G1237" s="15">
        <f t="shared" si="5"/>
        <v>99</v>
      </c>
    </row>
    <row r="1238" spans="1:7" ht="12.75">
      <c r="A1238" s="93">
        <f t="shared" si="0"/>
        <v>1830</v>
      </c>
      <c r="B1238" s="17">
        <f t="shared" si="1"/>
        <v>3.268</v>
      </c>
      <c r="C1238" s="4">
        <f t="shared" si="7"/>
        <v>0</v>
      </c>
      <c r="D1238" s="114">
        <f t="shared" si="7"/>
        <v>52</v>
      </c>
      <c r="E1238" s="15">
        <f t="shared" si="3"/>
        <v>50</v>
      </c>
      <c r="F1238" s="4">
        <f t="shared" si="4"/>
        <v>33</v>
      </c>
      <c r="G1238" s="15">
        <f t="shared" si="5"/>
        <v>33</v>
      </c>
    </row>
    <row r="1239" spans="1:7" ht="12.75">
      <c r="A1239" s="93">
        <f t="shared" si="0"/>
        <v>3727</v>
      </c>
      <c r="B1239" s="17">
        <f t="shared" si="1"/>
        <v>3.753</v>
      </c>
      <c r="C1239" s="4">
        <f t="shared" si="7"/>
        <v>0</v>
      </c>
      <c r="D1239" s="114">
        <f t="shared" si="7"/>
        <v>52</v>
      </c>
      <c r="E1239" s="15">
        <f t="shared" si="3"/>
        <v>75</v>
      </c>
      <c r="F1239" s="4">
        <f t="shared" si="4"/>
        <v>66</v>
      </c>
      <c r="G1239" s="15">
        <f t="shared" si="5"/>
        <v>66</v>
      </c>
    </row>
    <row r="1240" spans="1:7" ht="12.75">
      <c r="A1240" s="93">
        <f t="shared" si="0"/>
        <v>3501</v>
      </c>
      <c r="B1240" s="17">
        <f t="shared" si="1"/>
        <v>2.989</v>
      </c>
      <c r="C1240" s="4">
        <f t="shared" si="7"/>
        <v>0</v>
      </c>
      <c r="D1240" s="114">
        <f t="shared" si="7"/>
        <v>53</v>
      </c>
      <c r="E1240" s="15">
        <f t="shared" si="3"/>
        <v>25</v>
      </c>
      <c r="F1240" s="4">
        <f t="shared" si="4"/>
        <v>66</v>
      </c>
      <c r="G1240" s="15">
        <f t="shared" si="5"/>
        <v>33</v>
      </c>
    </row>
    <row r="1241" spans="1:7" ht="12.75">
      <c r="A1241" s="93">
        <f t="shared" si="0"/>
        <v>980</v>
      </c>
      <c r="B1241" s="17">
        <f t="shared" si="1"/>
        <v>3.796</v>
      </c>
      <c r="C1241" s="4">
        <f t="shared" si="7"/>
        <v>0</v>
      </c>
      <c r="D1241" s="114">
        <f t="shared" si="7"/>
        <v>52</v>
      </c>
      <c r="E1241" s="15">
        <f t="shared" si="3"/>
        <v>75</v>
      </c>
      <c r="F1241" s="4">
        <f t="shared" si="4"/>
        <v>66</v>
      </c>
      <c r="G1241" s="15">
        <f t="shared" si="5"/>
        <v>66</v>
      </c>
    </row>
    <row r="1242" spans="1:7" ht="12.75">
      <c r="A1242" s="93">
        <f t="shared" si="0"/>
        <v>4250</v>
      </c>
      <c r="B1242" s="17">
        <f t="shared" si="1"/>
        <v>2.18</v>
      </c>
      <c r="C1242" s="4">
        <f t="shared" si="7"/>
        <v>0</v>
      </c>
      <c r="D1242" s="114">
        <f t="shared" si="7"/>
        <v>52</v>
      </c>
      <c r="E1242" s="15">
        <f t="shared" si="3"/>
        <v>25</v>
      </c>
      <c r="F1242" s="4">
        <f t="shared" si="4"/>
        <v>66</v>
      </c>
      <c r="G1242" s="15">
        <f t="shared" si="5"/>
        <v>33</v>
      </c>
    </row>
    <row r="1243" spans="1:7" ht="12.75">
      <c r="A1243" s="93">
        <f t="shared" si="0"/>
        <v>403</v>
      </c>
      <c r="B1243" s="17">
        <f t="shared" si="1"/>
        <v>4.091</v>
      </c>
      <c r="C1243" s="4">
        <f t="shared" si="7"/>
        <v>0</v>
      </c>
      <c r="D1243" s="114">
        <f t="shared" si="7"/>
        <v>52</v>
      </c>
      <c r="E1243" s="15">
        <f t="shared" si="3"/>
        <v>75</v>
      </c>
      <c r="F1243" s="4">
        <f t="shared" si="4"/>
        <v>66</v>
      </c>
      <c r="G1243" s="15">
        <f t="shared" si="5"/>
        <v>99</v>
      </c>
    </row>
    <row r="1244" spans="1:7" ht="12.75">
      <c r="A1244" s="93">
        <f t="shared" si="0"/>
        <v>500</v>
      </c>
      <c r="B1244" s="17">
        <f t="shared" si="1"/>
        <v>3.558</v>
      </c>
      <c r="C1244" s="4">
        <f t="shared" si="7"/>
        <v>0</v>
      </c>
      <c r="D1244" s="114">
        <f t="shared" si="7"/>
        <v>52</v>
      </c>
      <c r="E1244" s="15">
        <f t="shared" si="3"/>
        <v>75</v>
      </c>
      <c r="F1244" s="4">
        <f t="shared" si="4"/>
        <v>33</v>
      </c>
      <c r="G1244" s="15">
        <f t="shared" si="5"/>
        <v>33</v>
      </c>
    </row>
    <row r="1245" spans="1:7" ht="12.75">
      <c r="A1245" s="93">
        <f t="shared" si="0"/>
        <v>3049</v>
      </c>
      <c r="B1245" s="17">
        <f t="shared" si="1"/>
        <v>3.592</v>
      </c>
      <c r="C1245" s="4">
        <f t="shared" si="7"/>
        <v>1</v>
      </c>
      <c r="D1245" s="114">
        <f t="shared" si="7"/>
        <v>54</v>
      </c>
      <c r="E1245" s="15">
        <f t="shared" si="3"/>
        <v>75</v>
      </c>
      <c r="F1245" s="4">
        <f t="shared" si="4"/>
        <v>66</v>
      </c>
      <c r="G1245" s="15">
        <f t="shared" si="5"/>
        <v>99</v>
      </c>
    </row>
    <row r="1246" spans="1:7" ht="12.75">
      <c r="A1246" s="93">
        <f t="shared" si="0"/>
        <v>1881</v>
      </c>
      <c r="B1246" s="17">
        <f t="shared" si="1"/>
        <v>3.281</v>
      </c>
      <c r="C1246" s="4">
        <f t="shared" si="7"/>
        <v>0</v>
      </c>
      <c r="D1246" s="114">
        <f t="shared" si="7"/>
        <v>53</v>
      </c>
      <c r="E1246" s="15">
        <f t="shared" si="3"/>
        <v>50</v>
      </c>
      <c r="F1246" s="4">
        <f t="shared" si="4"/>
        <v>66</v>
      </c>
      <c r="G1246" s="15">
        <f t="shared" si="5"/>
        <v>66</v>
      </c>
    </row>
    <row r="1247" spans="1:7" ht="12.75">
      <c r="A1247" s="93">
        <f t="shared" si="0"/>
        <v>3975</v>
      </c>
      <c r="B1247" s="17">
        <f t="shared" si="1"/>
        <v>3.876</v>
      </c>
      <c r="C1247" s="4">
        <f t="shared" si="7"/>
        <v>1</v>
      </c>
      <c r="D1247" s="114">
        <f t="shared" si="7"/>
        <v>52</v>
      </c>
      <c r="E1247" s="15">
        <f t="shared" si="3"/>
        <v>100</v>
      </c>
      <c r="F1247" s="4">
        <f t="shared" si="4"/>
        <v>66</v>
      </c>
      <c r="G1247" s="15">
        <f t="shared" si="5"/>
        <v>66</v>
      </c>
    </row>
    <row r="1248" spans="1:7" ht="12.75">
      <c r="A1248" s="93">
        <f t="shared" si="0"/>
        <v>4376</v>
      </c>
      <c r="B1248" s="17">
        <f t="shared" si="1"/>
        <v>3.504</v>
      </c>
      <c r="C1248" s="4">
        <f t="shared" si="7"/>
        <v>0</v>
      </c>
      <c r="D1248" s="114">
        <f t="shared" si="7"/>
        <v>51</v>
      </c>
      <c r="E1248" s="15">
        <f t="shared" si="3"/>
        <v>75</v>
      </c>
      <c r="F1248" s="4">
        <f t="shared" si="4"/>
        <v>66</v>
      </c>
      <c r="G1248" s="15">
        <f t="shared" si="5"/>
        <v>66</v>
      </c>
    </row>
    <row r="1249" spans="1:7" ht="12.75">
      <c r="A1249" s="93">
        <f t="shared" si="0"/>
        <v>413</v>
      </c>
      <c r="B1249" s="17">
        <f t="shared" si="1"/>
        <v>4.362</v>
      </c>
      <c r="C1249" s="4">
        <f t="shared" si="7"/>
        <v>0</v>
      </c>
      <c r="D1249" s="114">
        <f t="shared" si="7"/>
        <v>52</v>
      </c>
      <c r="E1249" s="15">
        <f t="shared" si="3"/>
        <v>100</v>
      </c>
      <c r="F1249" s="4">
        <f t="shared" si="4"/>
        <v>66</v>
      </c>
      <c r="G1249" s="15">
        <f t="shared" si="5"/>
        <v>33</v>
      </c>
    </row>
    <row r="1250" spans="1:7" ht="12.75">
      <c r="A1250" s="93">
        <f t="shared" si="0"/>
        <v>4101</v>
      </c>
      <c r="B1250" s="17">
        <f t="shared" si="1"/>
        <v>4.459</v>
      </c>
      <c r="C1250" s="4">
        <f aca="true" t="shared" si="8" ref="C1250:D1269">C63</f>
        <v>0</v>
      </c>
      <c r="D1250" s="114">
        <f t="shared" si="8"/>
        <v>52</v>
      </c>
      <c r="E1250" s="15">
        <f t="shared" si="3"/>
        <v>100</v>
      </c>
      <c r="F1250" s="4">
        <f t="shared" si="4"/>
        <v>66</v>
      </c>
      <c r="G1250" s="15">
        <f t="shared" si="5"/>
        <v>99</v>
      </c>
    </row>
    <row r="1251" spans="1:7" ht="12.75">
      <c r="A1251" s="93">
        <f t="shared" si="0"/>
        <v>4494</v>
      </c>
      <c r="B1251" s="17">
        <f t="shared" si="1"/>
        <v>3.374</v>
      </c>
      <c r="C1251" s="4">
        <f t="shared" si="8"/>
        <v>0</v>
      </c>
      <c r="D1251" s="114">
        <f t="shared" si="8"/>
        <v>56</v>
      </c>
      <c r="E1251" s="15">
        <f t="shared" si="3"/>
        <v>75</v>
      </c>
      <c r="F1251" s="4">
        <f t="shared" si="4"/>
        <v>33</v>
      </c>
      <c r="G1251" s="15">
        <f t="shared" si="5"/>
        <v>33</v>
      </c>
    </row>
    <row r="1252" spans="1:7" ht="12.75">
      <c r="A1252" s="93">
        <f t="shared" si="0"/>
        <v>1536</v>
      </c>
      <c r="B1252" s="17">
        <f t="shared" si="1"/>
        <v>3.954</v>
      </c>
      <c r="C1252" s="4">
        <f t="shared" si="8"/>
        <v>0</v>
      </c>
      <c r="D1252" s="114">
        <f t="shared" si="8"/>
        <v>52</v>
      </c>
      <c r="E1252" s="15">
        <f t="shared" si="3"/>
        <v>100</v>
      </c>
      <c r="F1252" s="4">
        <f t="shared" si="4"/>
        <v>66</v>
      </c>
      <c r="G1252" s="15">
        <f t="shared" si="5"/>
        <v>66</v>
      </c>
    </row>
    <row r="1253" spans="1:7" ht="12.75">
      <c r="A1253" s="93">
        <f t="shared" si="0"/>
        <v>3635</v>
      </c>
      <c r="B1253" s="17">
        <f t="shared" si="1"/>
        <v>3.572</v>
      </c>
      <c r="C1253" s="4">
        <f t="shared" si="8"/>
        <v>0</v>
      </c>
      <c r="D1253" s="114">
        <f t="shared" si="8"/>
        <v>51</v>
      </c>
      <c r="E1253" s="15">
        <f t="shared" si="3"/>
        <v>75</v>
      </c>
      <c r="F1253" s="4">
        <f t="shared" si="4"/>
        <v>66</v>
      </c>
      <c r="G1253" s="15">
        <f t="shared" si="5"/>
        <v>66</v>
      </c>
    </row>
    <row r="1254" spans="1:7" ht="12.75">
      <c r="A1254" s="93">
        <f aca="true" t="shared" si="9" ref="A1254:A1317">B67</f>
        <v>3432</v>
      </c>
      <c r="B1254" s="17">
        <f aca="true" t="shared" si="10" ref="B1254:B1317">E67</f>
        <v>3.398</v>
      </c>
      <c r="C1254" s="4">
        <f t="shared" si="8"/>
        <v>0</v>
      </c>
      <c r="D1254" s="114">
        <f t="shared" si="8"/>
        <v>55</v>
      </c>
      <c r="E1254" s="15">
        <f aca="true" t="shared" si="11" ref="E1254:E1317">IF(F67=1,25,IF(G67=1,50,IF(H67=1,75,100)))</f>
        <v>50</v>
      </c>
      <c r="F1254" s="4">
        <f aca="true" t="shared" si="12" ref="F1254:F1317">IF(J67=1,33,IF(K67=1,66,99))</f>
        <v>99</v>
      </c>
      <c r="G1254" s="15">
        <f aca="true" t="shared" si="13" ref="G1254:G1317">IF(M67=1,33,IF(N67=1,66,99))</f>
        <v>66</v>
      </c>
    </row>
    <row r="1255" spans="1:7" ht="12.75">
      <c r="A1255" s="93">
        <f t="shared" si="9"/>
        <v>4300</v>
      </c>
      <c r="B1255" s="17">
        <f t="shared" si="10"/>
        <v>3.203</v>
      </c>
      <c r="C1255" s="4">
        <f t="shared" si="8"/>
        <v>1</v>
      </c>
      <c r="D1255" s="114">
        <f t="shared" si="8"/>
        <v>53</v>
      </c>
      <c r="E1255" s="15">
        <f t="shared" si="11"/>
        <v>50</v>
      </c>
      <c r="F1255" s="4">
        <f t="shared" si="12"/>
        <v>66</v>
      </c>
      <c r="G1255" s="15">
        <f t="shared" si="13"/>
        <v>99</v>
      </c>
    </row>
    <row r="1256" spans="1:7" ht="12.75">
      <c r="A1256" s="93">
        <f t="shared" si="9"/>
        <v>3772</v>
      </c>
      <c r="B1256" s="17">
        <f t="shared" si="10"/>
        <v>3.698</v>
      </c>
      <c r="C1256" s="4">
        <f t="shared" si="8"/>
        <v>0</v>
      </c>
      <c r="D1256" s="114">
        <f t="shared" si="8"/>
        <v>54</v>
      </c>
      <c r="E1256" s="15">
        <f t="shared" si="11"/>
        <v>75</v>
      </c>
      <c r="F1256" s="4">
        <f t="shared" si="12"/>
        <v>66</v>
      </c>
      <c r="G1256" s="15">
        <f t="shared" si="13"/>
        <v>66</v>
      </c>
    </row>
    <row r="1257" spans="1:7" ht="12.75">
      <c r="A1257" s="93">
        <f t="shared" si="9"/>
        <v>26</v>
      </c>
      <c r="B1257" s="17">
        <f t="shared" si="10"/>
        <v>2.453</v>
      </c>
      <c r="C1257" s="4">
        <f t="shared" si="8"/>
        <v>0</v>
      </c>
      <c r="D1257" s="114">
        <f t="shared" si="8"/>
        <v>51</v>
      </c>
      <c r="E1257" s="15">
        <f t="shared" si="11"/>
        <v>25</v>
      </c>
      <c r="F1257" s="4">
        <f t="shared" si="12"/>
        <v>66</v>
      </c>
      <c r="G1257" s="15">
        <f t="shared" si="13"/>
        <v>66</v>
      </c>
    </row>
    <row r="1258" spans="1:7" ht="12.75">
      <c r="A1258" s="93">
        <f t="shared" si="9"/>
        <v>957</v>
      </c>
      <c r="B1258" s="17">
        <f t="shared" si="10"/>
        <v>2.851</v>
      </c>
      <c r="C1258" s="4">
        <f t="shared" si="8"/>
        <v>1</v>
      </c>
      <c r="D1258" s="114">
        <f t="shared" si="8"/>
        <v>52</v>
      </c>
      <c r="E1258" s="15">
        <f t="shared" si="11"/>
        <v>25</v>
      </c>
      <c r="F1258" s="4">
        <f t="shared" si="12"/>
        <v>66</v>
      </c>
      <c r="G1258" s="15">
        <f t="shared" si="13"/>
        <v>66</v>
      </c>
    </row>
    <row r="1259" spans="1:7" ht="12.75">
      <c r="A1259" s="93">
        <f t="shared" si="9"/>
        <v>4353</v>
      </c>
      <c r="B1259" s="17">
        <f t="shared" si="10"/>
        <v>3.64</v>
      </c>
      <c r="C1259" s="4">
        <f t="shared" si="8"/>
        <v>0</v>
      </c>
      <c r="D1259" s="114">
        <f t="shared" si="8"/>
        <v>51</v>
      </c>
      <c r="E1259" s="15">
        <f t="shared" si="11"/>
        <v>75</v>
      </c>
      <c r="F1259" s="4">
        <f t="shared" si="12"/>
        <v>66</v>
      </c>
      <c r="G1259" s="15">
        <f t="shared" si="13"/>
        <v>33</v>
      </c>
    </row>
    <row r="1260" spans="1:7" ht="12.75">
      <c r="A1260" s="93">
        <f t="shared" si="9"/>
        <v>4533</v>
      </c>
      <c r="B1260" s="17">
        <f t="shared" si="10"/>
        <v>4.044</v>
      </c>
      <c r="C1260" s="4">
        <f t="shared" si="8"/>
        <v>0</v>
      </c>
      <c r="D1260" s="114">
        <f t="shared" si="8"/>
        <v>51</v>
      </c>
      <c r="E1260" s="15">
        <f t="shared" si="11"/>
        <v>100</v>
      </c>
      <c r="F1260" s="4">
        <f t="shared" si="12"/>
        <v>99</v>
      </c>
      <c r="G1260" s="15">
        <f t="shared" si="13"/>
        <v>66</v>
      </c>
    </row>
    <row r="1261" spans="1:7" ht="12.75">
      <c r="A1261" s="93">
        <f t="shared" si="9"/>
        <v>2742</v>
      </c>
      <c r="B1261" s="17">
        <f t="shared" si="10"/>
        <v>3.564</v>
      </c>
      <c r="C1261" s="4">
        <f t="shared" si="8"/>
        <v>0</v>
      </c>
      <c r="D1261" s="114">
        <f t="shared" si="8"/>
        <v>51</v>
      </c>
      <c r="E1261" s="15">
        <f t="shared" si="11"/>
        <v>75</v>
      </c>
      <c r="F1261" s="4">
        <f t="shared" si="12"/>
        <v>66</v>
      </c>
      <c r="G1261" s="15">
        <f t="shared" si="13"/>
        <v>99</v>
      </c>
    </row>
    <row r="1262" spans="1:7" ht="12.75">
      <c r="A1262" s="93">
        <f t="shared" si="9"/>
        <v>1131</v>
      </c>
      <c r="B1262" s="17">
        <f t="shared" si="10"/>
        <v>3.692</v>
      </c>
      <c r="C1262" s="4">
        <f t="shared" si="8"/>
        <v>0</v>
      </c>
      <c r="D1262" s="114">
        <f t="shared" si="8"/>
        <v>54</v>
      </c>
      <c r="E1262" s="15">
        <f t="shared" si="11"/>
        <v>75</v>
      </c>
      <c r="F1262" s="4">
        <f t="shared" si="12"/>
        <v>99</v>
      </c>
      <c r="G1262" s="15">
        <f t="shared" si="13"/>
        <v>66</v>
      </c>
    </row>
    <row r="1263" spans="1:7" ht="12.75">
      <c r="A1263" s="93">
        <f t="shared" si="9"/>
        <v>3003</v>
      </c>
      <c r="B1263" s="17">
        <f t="shared" si="10"/>
        <v>2.837</v>
      </c>
      <c r="C1263" s="4">
        <f t="shared" si="8"/>
        <v>0</v>
      </c>
      <c r="D1263" s="114">
        <f t="shared" si="8"/>
        <v>52</v>
      </c>
      <c r="E1263" s="15">
        <f t="shared" si="11"/>
        <v>75</v>
      </c>
      <c r="F1263" s="4">
        <f t="shared" si="12"/>
        <v>66</v>
      </c>
      <c r="G1263" s="15">
        <f t="shared" si="13"/>
        <v>99</v>
      </c>
    </row>
    <row r="1264" spans="1:7" ht="12.75">
      <c r="A1264" s="93">
        <f t="shared" si="9"/>
        <v>1078</v>
      </c>
      <c r="B1264" s="17">
        <f t="shared" si="10"/>
        <v>3.584</v>
      </c>
      <c r="C1264" s="4">
        <f t="shared" si="8"/>
        <v>1</v>
      </c>
      <c r="D1264" s="114">
        <f t="shared" si="8"/>
        <v>55</v>
      </c>
      <c r="E1264" s="15">
        <f t="shared" si="11"/>
        <v>75</v>
      </c>
      <c r="F1264" s="4">
        <f t="shared" si="12"/>
        <v>66</v>
      </c>
      <c r="G1264" s="15">
        <f t="shared" si="13"/>
        <v>33</v>
      </c>
    </row>
    <row r="1265" spans="1:7" ht="12.75">
      <c r="A1265" s="93">
        <f t="shared" si="9"/>
        <v>949</v>
      </c>
      <c r="B1265" s="17">
        <f t="shared" si="10"/>
        <v>3.594</v>
      </c>
      <c r="C1265" s="4">
        <f t="shared" si="8"/>
        <v>0</v>
      </c>
      <c r="D1265" s="114">
        <f t="shared" si="8"/>
        <v>55</v>
      </c>
      <c r="E1265" s="15">
        <f t="shared" si="11"/>
        <v>75</v>
      </c>
      <c r="F1265" s="4">
        <f t="shared" si="12"/>
        <v>66</v>
      </c>
      <c r="G1265" s="15">
        <f t="shared" si="13"/>
        <v>33</v>
      </c>
    </row>
    <row r="1266" spans="1:7" ht="12.75">
      <c r="A1266" s="93">
        <f t="shared" si="9"/>
        <v>61</v>
      </c>
      <c r="B1266" s="17">
        <f t="shared" si="10"/>
        <v>3.593</v>
      </c>
      <c r="C1266" s="4">
        <f t="shared" si="8"/>
        <v>0</v>
      </c>
      <c r="D1266" s="114">
        <f t="shared" si="8"/>
        <v>51</v>
      </c>
      <c r="E1266" s="15">
        <f t="shared" si="11"/>
        <v>75</v>
      </c>
      <c r="F1266" s="4">
        <f t="shared" si="12"/>
        <v>66</v>
      </c>
      <c r="G1266" s="15">
        <f t="shared" si="13"/>
        <v>66</v>
      </c>
    </row>
    <row r="1267" spans="1:7" ht="12.75">
      <c r="A1267" s="93">
        <f t="shared" si="9"/>
        <v>3316</v>
      </c>
      <c r="B1267" s="17">
        <f t="shared" si="10"/>
        <v>3.869</v>
      </c>
      <c r="C1267" s="4">
        <f t="shared" si="8"/>
        <v>0</v>
      </c>
      <c r="D1267" s="114">
        <f t="shared" si="8"/>
        <v>54</v>
      </c>
      <c r="E1267" s="15">
        <f t="shared" si="11"/>
        <v>100</v>
      </c>
      <c r="F1267" s="4">
        <f t="shared" si="12"/>
        <v>66</v>
      </c>
      <c r="G1267" s="15">
        <f t="shared" si="13"/>
        <v>33</v>
      </c>
    </row>
    <row r="1268" spans="1:7" ht="12.75">
      <c r="A1268" s="93">
        <f t="shared" si="9"/>
        <v>4099</v>
      </c>
      <c r="B1268" s="17">
        <f t="shared" si="10"/>
        <v>3.395</v>
      </c>
      <c r="C1268" s="4">
        <f t="shared" si="8"/>
        <v>1</v>
      </c>
      <c r="D1268" s="114">
        <f t="shared" si="8"/>
        <v>50</v>
      </c>
      <c r="E1268" s="15">
        <f t="shared" si="11"/>
        <v>50</v>
      </c>
      <c r="F1268" s="4">
        <f t="shared" si="12"/>
        <v>99</v>
      </c>
      <c r="G1268" s="15">
        <f t="shared" si="13"/>
        <v>99</v>
      </c>
    </row>
    <row r="1269" spans="1:7" ht="12.75">
      <c r="A1269" s="93">
        <f t="shared" si="9"/>
        <v>569</v>
      </c>
      <c r="B1269" s="17">
        <f t="shared" si="10"/>
        <v>3.83</v>
      </c>
      <c r="C1269" s="4">
        <f t="shared" si="8"/>
        <v>1</v>
      </c>
      <c r="D1269" s="114">
        <f t="shared" si="8"/>
        <v>55</v>
      </c>
      <c r="E1269" s="15">
        <f t="shared" si="11"/>
        <v>100</v>
      </c>
      <c r="F1269" s="4">
        <f t="shared" si="12"/>
        <v>66</v>
      </c>
      <c r="G1269" s="15">
        <f t="shared" si="13"/>
        <v>99</v>
      </c>
    </row>
    <row r="1270" spans="1:7" ht="12.75">
      <c r="A1270" s="93">
        <f t="shared" si="9"/>
        <v>1498</v>
      </c>
      <c r="B1270" s="17">
        <f t="shared" si="10"/>
        <v>2.583</v>
      </c>
      <c r="C1270" s="4">
        <f aca="true" t="shared" si="14" ref="C1270:D1289">C83</f>
        <v>1</v>
      </c>
      <c r="D1270" s="114">
        <f t="shared" si="14"/>
        <v>53</v>
      </c>
      <c r="E1270" s="15">
        <f t="shared" si="11"/>
        <v>25</v>
      </c>
      <c r="F1270" s="4">
        <f t="shared" si="12"/>
        <v>66</v>
      </c>
      <c r="G1270" s="15">
        <f t="shared" si="13"/>
        <v>33</v>
      </c>
    </row>
    <row r="1271" spans="1:7" ht="12.75">
      <c r="A1271" s="93">
        <f t="shared" si="9"/>
        <v>1463</v>
      </c>
      <c r="B1271" s="17">
        <f t="shared" si="10"/>
        <v>3.66</v>
      </c>
      <c r="C1271" s="4">
        <f t="shared" si="14"/>
        <v>1</v>
      </c>
      <c r="D1271" s="114">
        <f t="shared" si="14"/>
        <v>50</v>
      </c>
      <c r="E1271" s="15">
        <f t="shared" si="11"/>
        <v>75</v>
      </c>
      <c r="F1271" s="4">
        <f t="shared" si="12"/>
        <v>66</v>
      </c>
      <c r="G1271" s="15">
        <f t="shared" si="13"/>
        <v>66</v>
      </c>
    </row>
    <row r="1272" spans="1:7" ht="12.75">
      <c r="A1272" s="93">
        <f t="shared" si="9"/>
        <v>2527</v>
      </c>
      <c r="B1272" s="17">
        <f t="shared" si="10"/>
        <v>4.519</v>
      </c>
      <c r="C1272" s="4">
        <f t="shared" si="14"/>
        <v>1</v>
      </c>
      <c r="D1272" s="114">
        <f t="shared" si="14"/>
        <v>55</v>
      </c>
      <c r="E1272" s="15">
        <f t="shared" si="11"/>
        <v>100</v>
      </c>
      <c r="F1272" s="4">
        <f t="shared" si="12"/>
        <v>66</v>
      </c>
      <c r="G1272" s="15">
        <f t="shared" si="13"/>
        <v>99</v>
      </c>
    </row>
    <row r="1273" spans="1:7" ht="12.75">
      <c r="A1273" s="93">
        <f t="shared" si="9"/>
        <v>1805</v>
      </c>
      <c r="B1273" s="17">
        <f t="shared" si="10"/>
        <v>3.56</v>
      </c>
      <c r="C1273" s="4">
        <f t="shared" si="14"/>
        <v>0</v>
      </c>
      <c r="D1273" s="114">
        <f t="shared" si="14"/>
        <v>51</v>
      </c>
      <c r="E1273" s="15">
        <f t="shared" si="11"/>
        <v>75</v>
      </c>
      <c r="F1273" s="4">
        <f t="shared" si="12"/>
        <v>66</v>
      </c>
      <c r="G1273" s="15">
        <f t="shared" si="13"/>
        <v>66</v>
      </c>
    </row>
    <row r="1274" spans="1:7" ht="12.75">
      <c r="A1274" s="93">
        <f t="shared" si="9"/>
        <v>3184</v>
      </c>
      <c r="B1274" s="17">
        <f t="shared" si="10"/>
        <v>3.137</v>
      </c>
      <c r="C1274" s="4">
        <f t="shared" si="14"/>
        <v>1</v>
      </c>
      <c r="D1274" s="114">
        <f t="shared" si="14"/>
        <v>52</v>
      </c>
      <c r="E1274" s="15">
        <f t="shared" si="11"/>
        <v>50</v>
      </c>
      <c r="F1274" s="4">
        <f t="shared" si="12"/>
        <v>66</v>
      </c>
      <c r="G1274" s="15">
        <f t="shared" si="13"/>
        <v>99</v>
      </c>
    </row>
    <row r="1275" spans="1:7" ht="12.75">
      <c r="A1275" s="93">
        <f t="shared" si="9"/>
        <v>2312</v>
      </c>
      <c r="B1275" s="17">
        <f t="shared" si="10"/>
        <v>3.239</v>
      </c>
      <c r="C1275" s="4">
        <f t="shared" si="14"/>
        <v>0</v>
      </c>
      <c r="D1275" s="114">
        <f t="shared" si="14"/>
        <v>52</v>
      </c>
      <c r="E1275" s="15">
        <f t="shared" si="11"/>
        <v>50</v>
      </c>
      <c r="F1275" s="4">
        <f t="shared" si="12"/>
        <v>33</v>
      </c>
      <c r="G1275" s="15">
        <f t="shared" si="13"/>
        <v>33</v>
      </c>
    </row>
    <row r="1276" spans="1:7" ht="12.75">
      <c r="A1276" s="93">
        <f t="shared" si="9"/>
        <v>140</v>
      </c>
      <c r="B1276" s="17">
        <f t="shared" si="10"/>
        <v>3.01</v>
      </c>
      <c r="C1276" s="4">
        <f t="shared" si="14"/>
        <v>0</v>
      </c>
      <c r="D1276" s="114">
        <f t="shared" si="14"/>
        <v>55</v>
      </c>
      <c r="E1276" s="15">
        <f t="shared" si="11"/>
        <v>25</v>
      </c>
      <c r="F1276" s="4">
        <f t="shared" si="12"/>
        <v>66</v>
      </c>
      <c r="G1276" s="15">
        <f t="shared" si="13"/>
        <v>33</v>
      </c>
    </row>
    <row r="1277" spans="1:7" ht="12.75">
      <c r="A1277" s="93">
        <f t="shared" si="9"/>
        <v>3779</v>
      </c>
      <c r="B1277" s="17">
        <f t="shared" si="10"/>
        <v>3.257</v>
      </c>
      <c r="C1277" s="4">
        <f t="shared" si="14"/>
        <v>0</v>
      </c>
      <c r="D1277" s="114">
        <f t="shared" si="14"/>
        <v>51</v>
      </c>
      <c r="E1277" s="15">
        <f t="shared" si="11"/>
        <v>50</v>
      </c>
      <c r="F1277" s="4">
        <f t="shared" si="12"/>
        <v>99</v>
      </c>
      <c r="G1277" s="15">
        <f t="shared" si="13"/>
        <v>66</v>
      </c>
    </row>
    <row r="1278" spans="1:7" ht="12.75">
      <c r="A1278" s="93">
        <f t="shared" si="9"/>
        <v>3143</v>
      </c>
      <c r="B1278" s="17">
        <f t="shared" si="10"/>
        <v>3.259</v>
      </c>
      <c r="C1278" s="4">
        <f t="shared" si="14"/>
        <v>1</v>
      </c>
      <c r="D1278" s="114">
        <f t="shared" si="14"/>
        <v>54</v>
      </c>
      <c r="E1278" s="15">
        <f t="shared" si="11"/>
        <v>50</v>
      </c>
      <c r="F1278" s="4">
        <f t="shared" si="12"/>
        <v>66</v>
      </c>
      <c r="G1278" s="15">
        <f t="shared" si="13"/>
        <v>66</v>
      </c>
    </row>
    <row r="1279" spans="1:7" ht="12.75">
      <c r="A1279" s="93">
        <f t="shared" si="9"/>
        <v>2884</v>
      </c>
      <c r="B1279" s="17">
        <f t="shared" si="10"/>
        <v>3.219</v>
      </c>
      <c r="C1279" s="4">
        <f t="shared" si="14"/>
        <v>0</v>
      </c>
      <c r="D1279" s="114">
        <f t="shared" si="14"/>
        <v>53</v>
      </c>
      <c r="E1279" s="15">
        <f t="shared" si="11"/>
        <v>50</v>
      </c>
      <c r="F1279" s="4">
        <f t="shared" si="12"/>
        <v>66</v>
      </c>
      <c r="G1279" s="15">
        <f t="shared" si="13"/>
        <v>66</v>
      </c>
    </row>
    <row r="1280" spans="1:7" ht="12.75">
      <c r="A1280" s="93">
        <f t="shared" si="9"/>
        <v>3369</v>
      </c>
      <c r="B1280" s="17">
        <f t="shared" si="10"/>
        <v>3.346</v>
      </c>
      <c r="C1280" s="4">
        <f t="shared" si="14"/>
        <v>1</v>
      </c>
      <c r="D1280" s="114">
        <f t="shared" si="14"/>
        <v>54</v>
      </c>
      <c r="E1280" s="15">
        <f t="shared" si="11"/>
        <v>50</v>
      </c>
      <c r="F1280" s="4">
        <f t="shared" si="12"/>
        <v>66</v>
      </c>
      <c r="G1280" s="15">
        <f t="shared" si="13"/>
        <v>99</v>
      </c>
    </row>
    <row r="1281" spans="1:7" ht="12.75">
      <c r="A1281" s="93">
        <f t="shared" si="9"/>
        <v>1230</v>
      </c>
      <c r="B1281" s="17">
        <f t="shared" si="10"/>
        <v>3.342</v>
      </c>
      <c r="C1281" s="4">
        <f t="shared" si="14"/>
        <v>0</v>
      </c>
      <c r="D1281" s="114">
        <f t="shared" si="14"/>
        <v>52</v>
      </c>
      <c r="E1281" s="15">
        <f t="shared" si="11"/>
        <v>50</v>
      </c>
      <c r="F1281" s="4">
        <f t="shared" si="12"/>
        <v>66</v>
      </c>
      <c r="G1281" s="15">
        <f t="shared" si="13"/>
        <v>33</v>
      </c>
    </row>
    <row r="1282" spans="1:7" ht="12.75">
      <c r="A1282" s="93">
        <f t="shared" si="9"/>
        <v>3675</v>
      </c>
      <c r="B1282" s="17">
        <f t="shared" si="10"/>
        <v>2.323</v>
      </c>
      <c r="C1282" s="4">
        <f t="shared" si="14"/>
        <v>0</v>
      </c>
      <c r="D1282" s="114">
        <f t="shared" si="14"/>
        <v>52</v>
      </c>
      <c r="E1282" s="15">
        <f t="shared" si="11"/>
        <v>25</v>
      </c>
      <c r="F1282" s="4">
        <f t="shared" si="12"/>
        <v>66</v>
      </c>
      <c r="G1282" s="15">
        <f t="shared" si="13"/>
        <v>99</v>
      </c>
    </row>
    <row r="1283" spans="1:7" ht="12.75">
      <c r="A1283" s="93">
        <f t="shared" si="9"/>
        <v>3329</v>
      </c>
      <c r="B1283" s="17">
        <f t="shared" si="10"/>
        <v>3.128</v>
      </c>
      <c r="C1283" s="4">
        <f t="shared" si="14"/>
        <v>1</v>
      </c>
      <c r="D1283" s="114">
        <f t="shared" si="14"/>
        <v>53</v>
      </c>
      <c r="E1283" s="15">
        <f t="shared" si="11"/>
        <v>25</v>
      </c>
      <c r="F1283" s="4">
        <f t="shared" si="12"/>
        <v>99</v>
      </c>
      <c r="G1283" s="15">
        <f t="shared" si="13"/>
        <v>66</v>
      </c>
    </row>
    <row r="1284" spans="1:7" ht="12.75">
      <c r="A1284" s="93">
        <f t="shared" si="9"/>
        <v>1556</v>
      </c>
      <c r="B1284" s="17">
        <f t="shared" si="10"/>
        <v>3.602</v>
      </c>
      <c r="C1284" s="4">
        <f t="shared" si="14"/>
        <v>1</v>
      </c>
      <c r="D1284" s="114">
        <f t="shared" si="14"/>
        <v>54</v>
      </c>
      <c r="E1284" s="15">
        <f t="shared" si="11"/>
        <v>75</v>
      </c>
      <c r="F1284" s="4">
        <f t="shared" si="12"/>
        <v>66</v>
      </c>
      <c r="G1284" s="15">
        <f t="shared" si="13"/>
        <v>33</v>
      </c>
    </row>
    <row r="1285" spans="1:7" ht="12.75">
      <c r="A1285" s="93">
        <f t="shared" si="9"/>
        <v>2745</v>
      </c>
      <c r="B1285" s="17">
        <f t="shared" si="10"/>
        <v>4.039</v>
      </c>
      <c r="C1285" s="4">
        <f t="shared" si="14"/>
        <v>1</v>
      </c>
      <c r="D1285" s="114">
        <f t="shared" si="14"/>
        <v>50</v>
      </c>
      <c r="E1285" s="15">
        <f t="shared" si="11"/>
        <v>100</v>
      </c>
      <c r="F1285" s="4">
        <f t="shared" si="12"/>
        <v>66</v>
      </c>
      <c r="G1285" s="15">
        <f t="shared" si="13"/>
        <v>66</v>
      </c>
    </row>
    <row r="1286" spans="1:7" ht="12.75">
      <c r="A1286" s="93">
        <f t="shared" si="9"/>
        <v>2335</v>
      </c>
      <c r="B1286" s="17">
        <f t="shared" si="10"/>
        <v>4.477</v>
      </c>
      <c r="C1286" s="4">
        <f t="shared" si="14"/>
        <v>1</v>
      </c>
      <c r="D1286" s="114">
        <f t="shared" si="14"/>
        <v>56</v>
      </c>
      <c r="E1286" s="15">
        <f t="shared" si="11"/>
        <v>100</v>
      </c>
      <c r="F1286" s="4">
        <f t="shared" si="12"/>
        <v>66</v>
      </c>
      <c r="G1286" s="15">
        <f t="shared" si="13"/>
        <v>66</v>
      </c>
    </row>
    <row r="1287" spans="1:7" ht="12.75">
      <c r="A1287" s="93">
        <f t="shared" si="9"/>
        <v>2602</v>
      </c>
      <c r="B1287" s="17">
        <f t="shared" si="10"/>
        <v>2.367</v>
      </c>
      <c r="C1287" s="4">
        <f t="shared" si="14"/>
        <v>1</v>
      </c>
      <c r="D1287" s="114">
        <f t="shared" si="14"/>
        <v>56</v>
      </c>
      <c r="E1287" s="15">
        <f t="shared" si="11"/>
        <v>25</v>
      </c>
      <c r="F1287" s="4">
        <f t="shared" si="12"/>
        <v>66</v>
      </c>
      <c r="G1287" s="15">
        <f t="shared" si="13"/>
        <v>66</v>
      </c>
    </row>
    <row r="1288" spans="1:7" ht="12.75">
      <c r="A1288" s="93">
        <f t="shared" si="9"/>
        <v>2060</v>
      </c>
      <c r="B1288" s="17">
        <f t="shared" si="10"/>
        <v>4.862</v>
      </c>
      <c r="C1288" s="4">
        <f t="shared" si="14"/>
        <v>0</v>
      </c>
      <c r="D1288" s="114">
        <f t="shared" si="14"/>
        <v>52</v>
      </c>
      <c r="E1288" s="15">
        <f t="shared" si="11"/>
        <v>100</v>
      </c>
      <c r="F1288" s="4">
        <f t="shared" si="12"/>
        <v>66</v>
      </c>
      <c r="G1288" s="15">
        <f t="shared" si="13"/>
        <v>99</v>
      </c>
    </row>
    <row r="1289" spans="1:7" ht="12.75">
      <c r="A1289" s="93">
        <f t="shared" si="9"/>
        <v>3410</v>
      </c>
      <c r="B1289" s="17">
        <f t="shared" si="10"/>
        <v>3.568</v>
      </c>
      <c r="C1289" s="4">
        <f t="shared" si="14"/>
        <v>1</v>
      </c>
      <c r="D1289" s="114">
        <f t="shared" si="14"/>
        <v>52</v>
      </c>
      <c r="E1289" s="15">
        <f t="shared" si="11"/>
        <v>75</v>
      </c>
      <c r="F1289" s="4">
        <f t="shared" si="12"/>
        <v>66</v>
      </c>
      <c r="G1289" s="15">
        <f t="shared" si="13"/>
        <v>99</v>
      </c>
    </row>
    <row r="1290" spans="1:7" ht="12.75">
      <c r="A1290" s="93">
        <f t="shared" si="9"/>
        <v>1800</v>
      </c>
      <c r="B1290" s="17">
        <f t="shared" si="10"/>
        <v>3.491</v>
      </c>
      <c r="C1290" s="4">
        <f aca="true" t="shared" si="15" ref="C1290:D1309">C103</f>
        <v>1</v>
      </c>
      <c r="D1290" s="114">
        <f t="shared" si="15"/>
        <v>53</v>
      </c>
      <c r="E1290" s="15">
        <f t="shared" si="11"/>
        <v>75</v>
      </c>
      <c r="F1290" s="4">
        <f t="shared" si="12"/>
        <v>66</v>
      </c>
      <c r="G1290" s="15">
        <f t="shared" si="13"/>
        <v>33</v>
      </c>
    </row>
    <row r="1291" spans="1:7" ht="12.75">
      <c r="A1291" s="93">
        <f t="shared" si="9"/>
        <v>4526</v>
      </c>
      <c r="B1291" s="17">
        <f t="shared" si="10"/>
        <v>3.182</v>
      </c>
      <c r="C1291" s="4">
        <f t="shared" si="15"/>
        <v>0</v>
      </c>
      <c r="D1291" s="114">
        <f t="shared" si="15"/>
        <v>51</v>
      </c>
      <c r="E1291" s="15">
        <f t="shared" si="11"/>
        <v>50</v>
      </c>
      <c r="F1291" s="4">
        <f t="shared" si="12"/>
        <v>66</v>
      </c>
      <c r="G1291" s="15">
        <f t="shared" si="13"/>
        <v>33</v>
      </c>
    </row>
    <row r="1292" spans="1:7" ht="12.75">
      <c r="A1292" s="93">
        <f t="shared" si="9"/>
        <v>1173</v>
      </c>
      <c r="B1292" s="17">
        <f t="shared" si="10"/>
        <v>3.579</v>
      </c>
      <c r="C1292" s="4">
        <f t="shared" si="15"/>
        <v>0</v>
      </c>
      <c r="D1292" s="114">
        <f t="shared" si="15"/>
        <v>53</v>
      </c>
      <c r="E1292" s="15">
        <f t="shared" si="11"/>
        <v>75</v>
      </c>
      <c r="F1292" s="4">
        <f t="shared" si="12"/>
        <v>99</v>
      </c>
      <c r="G1292" s="15">
        <f t="shared" si="13"/>
        <v>99</v>
      </c>
    </row>
    <row r="1293" spans="1:7" ht="12.75">
      <c r="A1293" s="93">
        <f t="shared" si="9"/>
        <v>2957</v>
      </c>
      <c r="B1293" s="17">
        <f t="shared" si="10"/>
        <v>2.781</v>
      </c>
      <c r="C1293" s="4">
        <f t="shared" si="15"/>
        <v>1</v>
      </c>
      <c r="D1293" s="114">
        <f t="shared" si="15"/>
        <v>52</v>
      </c>
      <c r="E1293" s="15">
        <f t="shared" si="11"/>
        <v>25</v>
      </c>
      <c r="F1293" s="4">
        <f t="shared" si="12"/>
        <v>99</v>
      </c>
      <c r="G1293" s="15">
        <f t="shared" si="13"/>
        <v>66</v>
      </c>
    </row>
    <row r="1294" spans="1:7" ht="12.75">
      <c r="A1294" s="93">
        <f t="shared" si="9"/>
        <v>1126</v>
      </c>
      <c r="B1294" s="17">
        <f t="shared" si="10"/>
        <v>2.487</v>
      </c>
      <c r="C1294" s="4">
        <f t="shared" si="15"/>
        <v>0</v>
      </c>
      <c r="D1294" s="114">
        <f t="shared" si="15"/>
        <v>51</v>
      </c>
      <c r="E1294" s="15">
        <f t="shared" si="11"/>
        <v>25</v>
      </c>
      <c r="F1294" s="4">
        <f t="shared" si="12"/>
        <v>66</v>
      </c>
      <c r="G1294" s="15">
        <f t="shared" si="13"/>
        <v>66</v>
      </c>
    </row>
    <row r="1295" spans="1:7" ht="12.75">
      <c r="A1295" s="93">
        <f t="shared" si="9"/>
        <v>347</v>
      </c>
      <c r="B1295" s="17">
        <f t="shared" si="10"/>
        <v>2.536</v>
      </c>
      <c r="C1295" s="4">
        <f t="shared" si="15"/>
        <v>1</v>
      </c>
      <c r="D1295" s="114">
        <f t="shared" si="15"/>
        <v>51</v>
      </c>
      <c r="E1295" s="15">
        <f t="shared" si="11"/>
        <v>25</v>
      </c>
      <c r="F1295" s="4">
        <f t="shared" si="12"/>
        <v>66</v>
      </c>
      <c r="G1295" s="15">
        <f t="shared" si="13"/>
        <v>99</v>
      </c>
    </row>
    <row r="1296" spans="1:7" ht="12.75">
      <c r="A1296" s="93">
        <f t="shared" si="9"/>
        <v>1689</v>
      </c>
      <c r="B1296" s="17">
        <f t="shared" si="10"/>
        <v>2.331</v>
      </c>
      <c r="C1296" s="4">
        <f t="shared" si="15"/>
        <v>1</v>
      </c>
      <c r="D1296" s="114">
        <f t="shared" si="15"/>
        <v>51</v>
      </c>
      <c r="E1296" s="15">
        <f t="shared" si="11"/>
        <v>25</v>
      </c>
      <c r="F1296" s="4">
        <f t="shared" si="12"/>
        <v>66</v>
      </c>
      <c r="G1296" s="15">
        <f t="shared" si="13"/>
        <v>66</v>
      </c>
    </row>
    <row r="1297" spans="1:7" ht="12.75">
      <c r="A1297" s="93">
        <f t="shared" si="9"/>
        <v>2026</v>
      </c>
      <c r="B1297" s="17">
        <f t="shared" si="10"/>
        <v>2.467</v>
      </c>
      <c r="C1297" s="4">
        <f t="shared" si="15"/>
        <v>0</v>
      </c>
      <c r="D1297" s="114">
        <f t="shared" si="15"/>
        <v>51</v>
      </c>
      <c r="E1297" s="15">
        <f t="shared" si="11"/>
        <v>25</v>
      </c>
      <c r="F1297" s="4">
        <f t="shared" si="12"/>
        <v>66</v>
      </c>
      <c r="G1297" s="15">
        <f t="shared" si="13"/>
        <v>66</v>
      </c>
    </row>
    <row r="1298" spans="1:7" ht="12.75">
      <c r="A1298" s="93">
        <f t="shared" si="9"/>
        <v>285</v>
      </c>
      <c r="B1298" s="17">
        <f t="shared" si="10"/>
        <v>3.313</v>
      </c>
      <c r="C1298" s="4">
        <f t="shared" si="15"/>
        <v>0</v>
      </c>
      <c r="D1298" s="114">
        <f t="shared" si="15"/>
        <v>55</v>
      </c>
      <c r="E1298" s="15">
        <f t="shared" si="11"/>
        <v>50</v>
      </c>
      <c r="F1298" s="4">
        <f t="shared" si="12"/>
        <v>33</v>
      </c>
      <c r="G1298" s="15">
        <f t="shared" si="13"/>
        <v>33</v>
      </c>
    </row>
    <row r="1299" spans="1:7" ht="12.75">
      <c r="A1299" s="93">
        <f t="shared" si="9"/>
        <v>1705</v>
      </c>
      <c r="B1299" s="17">
        <f t="shared" si="10"/>
        <v>3.493</v>
      </c>
      <c r="C1299" s="4">
        <f t="shared" si="15"/>
        <v>1</v>
      </c>
      <c r="D1299" s="114">
        <f t="shared" si="15"/>
        <v>52</v>
      </c>
      <c r="E1299" s="15">
        <f t="shared" si="11"/>
        <v>75</v>
      </c>
      <c r="F1299" s="4">
        <f t="shared" si="12"/>
        <v>33</v>
      </c>
      <c r="G1299" s="15">
        <f t="shared" si="13"/>
        <v>33</v>
      </c>
    </row>
    <row r="1300" spans="1:7" ht="12.75">
      <c r="A1300" s="93">
        <f t="shared" si="9"/>
        <v>811</v>
      </c>
      <c r="B1300" s="17">
        <f t="shared" si="10"/>
        <v>3.432</v>
      </c>
      <c r="C1300" s="4">
        <f t="shared" si="15"/>
        <v>1</v>
      </c>
      <c r="D1300" s="114">
        <f t="shared" si="15"/>
        <v>50</v>
      </c>
      <c r="E1300" s="15">
        <f t="shared" si="11"/>
        <v>50</v>
      </c>
      <c r="F1300" s="4">
        <f t="shared" si="12"/>
        <v>66</v>
      </c>
      <c r="G1300" s="15">
        <f t="shared" si="13"/>
        <v>33</v>
      </c>
    </row>
    <row r="1301" spans="1:7" ht="12.75">
      <c r="A1301" s="93">
        <f t="shared" si="9"/>
        <v>3651</v>
      </c>
      <c r="B1301" s="17">
        <f t="shared" si="10"/>
        <v>3.737</v>
      </c>
      <c r="C1301" s="4">
        <f t="shared" si="15"/>
        <v>1</v>
      </c>
      <c r="D1301" s="114">
        <f t="shared" si="15"/>
        <v>54</v>
      </c>
      <c r="E1301" s="15">
        <f t="shared" si="11"/>
        <v>75</v>
      </c>
      <c r="F1301" s="4">
        <f t="shared" si="12"/>
        <v>66</v>
      </c>
      <c r="G1301" s="15">
        <f t="shared" si="13"/>
        <v>33</v>
      </c>
    </row>
    <row r="1302" spans="1:7" ht="12.75">
      <c r="A1302" s="93">
        <f t="shared" si="9"/>
        <v>1695</v>
      </c>
      <c r="B1302" s="17">
        <f t="shared" si="10"/>
        <v>3.071</v>
      </c>
      <c r="C1302" s="4">
        <f t="shared" si="15"/>
        <v>1</v>
      </c>
      <c r="D1302" s="114">
        <f t="shared" si="15"/>
        <v>55</v>
      </c>
      <c r="E1302" s="15">
        <f t="shared" si="11"/>
        <v>50</v>
      </c>
      <c r="F1302" s="4">
        <f t="shared" si="12"/>
        <v>66</v>
      </c>
      <c r="G1302" s="15">
        <f t="shared" si="13"/>
        <v>33</v>
      </c>
    </row>
    <row r="1303" spans="1:7" ht="12.75">
      <c r="A1303" s="93">
        <f t="shared" si="9"/>
        <v>259</v>
      </c>
      <c r="B1303" s="17">
        <f t="shared" si="10"/>
        <v>2.96</v>
      </c>
      <c r="C1303" s="4">
        <f t="shared" si="15"/>
        <v>0</v>
      </c>
      <c r="D1303" s="114">
        <f t="shared" si="15"/>
        <v>52</v>
      </c>
      <c r="E1303" s="15">
        <f t="shared" si="11"/>
        <v>25</v>
      </c>
      <c r="F1303" s="4">
        <f t="shared" si="12"/>
        <v>66</v>
      </c>
      <c r="G1303" s="15">
        <f t="shared" si="13"/>
        <v>66</v>
      </c>
    </row>
    <row r="1304" spans="1:7" ht="12.75">
      <c r="A1304" s="93">
        <f t="shared" si="9"/>
        <v>4256</v>
      </c>
      <c r="B1304" s="17">
        <f t="shared" si="10"/>
        <v>3.234</v>
      </c>
      <c r="C1304" s="4">
        <f t="shared" si="15"/>
        <v>1</v>
      </c>
      <c r="D1304" s="114">
        <f t="shared" si="15"/>
        <v>52</v>
      </c>
      <c r="E1304" s="15">
        <f t="shared" si="11"/>
        <v>50</v>
      </c>
      <c r="F1304" s="4">
        <f t="shared" si="12"/>
        <v>66</v>
      </c>
      <c r="G1304" s="15">
        <f t="shared" si="13"/>
        <v>66</v>
      </c>
    </row>
    <row r="1305" spans="1:7" ht="12.75">
      <c r="A1305" s="93">
        <f t="shared" si="9"/>
        <v>478</v>
      </c>
      <c r="B1305" s="17">
        <f t="shared" si="10"/>
        <v>3.643</v>
      </c>
      <c r="C1305" s="4">
        <f t="shared" si="15"/>
        <v>0</v>
      </c>
      <c r="D1305" s="114">
        <f t="shared" si="15"/>
        <v>54</v>
      </c>
      <c r="E1305" s="15">
        <f t="shared" si="11"/>
        <v>75</v>
      </c>
      <c r="F1305" s="4">
        <f t="shared" si="12"/>
        <v>66</v>
      </c>
      <c r="G1305" s="15">
        <f t="shared" si="13"/>
        <v>33</v>
      </c>
    </row>
    <row r="1306" spans="1:7" ht="12.75">
      <c r="A1306" s="93">
        <f t="shared" si="9"/>
        <v>4148</v>
      </c>
      <c r="B1306" s="17">
        <f t="shared" si="10"/>
        <v>4.719</v>
      </c>
      <c r="C1306" s="4">
        <f t="shared" si="15"/>
        <v>0</v>
      </c>
      <c r="D1306" s="114">
        <f t="shared" si="15"/>
        <v>52</v>
      </c>
      <c r="E1306" s="15">
        <f t="shared" si="11"/>
        <v>100</v>
      </c>
      <c r="F1306" s="4">
        <f t="shared" si="12"/>
        <v>33</v>
      </c>
      <c r="G1306" s="15">
        <f t="shared" si="13"/>
        <v>33</v>
      </c>
    </row>
    <row r="1307" spans="1:7" ht="12.75">
      <c r="A1307" s="93">
        <f t="shared" si="9"/>
        <v>4544</v>
      </c>
      <c r="B1307" s="17">
        <f t="shared" si="10"/>
        <v>3.646</v>
      </c>
      <c r="C1307" s="4">
        <f t="shared" si="15"/>
        <v>0</v>
      </c>
      <c r="D1307" s="114">
        <f t="shared" si="15"/>
        <v>53</v>
      </c>
      <c r="E1307" s="15">
        <f t="shared" si="11"/>
        <v>75</v>
      </c>
      <c r="F1307" s="4">
        <f t="shared" si="12"/>
        <v>66</v>
      </c>
      <c r="G1307" s="15">
        <f t="shared" si="13"/>
        <v>99</v>
      </c>
    </row>
    <row r="1308" spans="1:7" ht="12.75">
      <c r="A1308" s="93">
        <f t="shared" si="9"/>
        <v>2197</v>
      </c>
      <c r="B1308" s="17">
        <f t="shared" si="10"/>
        <v>4.048</v>
      </c>
      <c r="C1308" s="4">
        <f t="shared" si="15"/>
        <v>1</v>
      </c>
      <c r="D1308" s="114">
        <f t="shared" si="15"/>
        <v>51</v>
      </c>
      <c r="E1308" s="15">
        <f t="shared" si="11"/>
        <v>100</v>
      </c>
      <c r="F1308" s="4">
        <f t="shared" si="12"/>
        <v>66</v>
      </c>
      <c r="G1308" s="15">
        <f t="shared" si="13"/>
        <v>33</v>
      </c>
    </row>
    <row r="1309" spans="1:7" ht="12.75">
      <c r="A1309" s="93">
        <f t="shared" si="9"/>
        <v>2111</v>
      </c>
      <c r="B1309" s="17">
        <f t="shared" si="10"/>
        <v>3.334</v>
      </c>
      <c r="C1309" s="4">
        <f t="shared" si="15"/>
        <v>1</v>
      </c>
      <c r="D1309" s="114">
        <f t="shared" si="15"/>
        <v>52</v>
      </c>
      <c r="E1309" s="15">
        <f t="shared" si="11"/>
        <v>50</v>
      </c>
      <c r="F1309" s="4">
        <f t="shared" si="12"/>
        <v>66</v>
      </c>
      <c r="G1309" s="15">
        <f t="shared" si="13"/>
        <v>66</v>
      </c>
    </row>
    <row r="1310" spans="1:7" ht="12.75">
      <c r="A1310" s="93">
        <f t="shared" si="9"/>
        <v>3376</v>
      </c>
      <c r="B1310" s="17">
        <f t="shared" si="10"/>
        <v>3.819</v>
      </c>
      <c r="C1310" s="4">
        <f aca="true" t="shared" si="16" ref="C1310:D1329">C123</f>
        <v>0</v>
      </c>
      <c r="D1310" s="114">
        <f t="shared" si="16"/>
        <v>54</v>
      </c>
      <c r="E1310" s="15">
        <f t="shared" si="11"/>
        <v>75</v>
      </c>
      <c r="F1310" s="4">
        <f t="shared" si="12"/>
        <v>66</v>
      </c>
      <c r="G1310" s="15">
        <f t="shared" si="13"/>
        <v>66</v>
      </c>
    </row>
    <row r="1311" spans="1:7" ht="12.75">
      <c r="A1311" s="93">
        <f t="shared" si="9"/>
        <v>3031</v>
      </c>
      <c r="B1311" s="17">
        <f t="shared" si="10"/>
        <v>3.763</v>
      </c>
      <c r="C1311" s="4">
        <f t="shared" si="16"/>
        <v>0</v>
      </c>
      <c r="D1311" s="114">
        <f t="shared" si="16"/>
        <v>54</v>
      </c>
      <c r="E1311" s="15">
        <f t="shared" si="11"/>
        <v>75</v>
      </c>
      <c r="F1311" s="4">
        <f t="shared" si="12"/>
        <v>66</v>
      </c>
      <c r="G1311" s="15">
        <f t="shared" si="13"/>
        <v>66</v>
      </c>
    </row>
    <row r="1312" spans="1:7" ht="12.75">
      <c r="A1312" s="93">
        <f t="shared" si="9"/>
        <v>15</v>
      </c>
      <c r="B1312" s="17">
        <f t="shared" si="10"/>
        <v>3.748</v>
      </c>
      <c r="C1312" s="4">
        <f t="shared" si="16"/>
        <v>0</v>
      </c>
      <c r="D1312" s="114">
        <f t="shared" si="16"/>
        <v>55</v>
      </c>
      <c r="E1312" s="15">
        <f t="shared" si="11"/>
        <v>75</v>
      </c>
      <c r="F1312" s="4">
        <f t="shared" si="12"/>
        <v>33</v>
      </c>
      <c r="G1312" s="15">
        <f t="shared" si="13"/>
        <v>33</v>
      </c>
    </row>
    <row r="1313" spans="1:7" ht="12.75">
      <c r="A1313" s="93">
        <f t="shared" si="9"/>
        <v>2081</v>
      </c>
      <c r="B1313" s="17">
        <f t="shared" si="10"/>
        <v>3.17</v>
      </c>
      <c r="C1313" s="4">
        <f t="shared" si="16"/>
        <v>0</v>
      </c>
      <c r="D1313" s="114">
        <f t="shared" si="16"/>
        <v>53</v>
      </c>
      <c r="E1313" s="15">
        <f t="shared" si="11"/>
        <v>50</v>
      </c>
      <c r="F1313" s="4">
        <f t="shared" si="12"/>
        <v>66</v>
      </c>
      <c r="G1313" s="15">
        <f t="shared" si="13"/>
        <v>99</v>
      </c>
    </row>
    <row r="1314" spans="1:7" ht="12.75">
      <c r="A1314" s="93">
        <f t="shared" si="9"/>
        <v>3034</v>
      </c>
      <c r="B1314" s="17">
        <f t="shared" si="10"/>
        <v>3.763</v>
      </c>
      <c r="C1314" s="4">
        <f t="shared" si="16"/>
        <v>1</v>
      </c>
      <c r="D1314" s="114">
        <f t="shared" si="16"/>
        <v>54</v>
      </c>
      <c r="E1314" s="15">
        <f t="shared" si="11"/>
        <v>100</v>
      </c>
      <c r="F1314" s="4">
        <f t="shared" si="12"/>
        <v>99</v>
      </c>
      <c r="G1314" s="15">
        <f t="shared" si="13"/>
        <v>99</v>
      </c>
    </row>
    <row r="1315" spans="1:7" ht="12.75">
      <c r="A1315" s="93">
        <f t="shared" si="9"/>
        <v>4146</v>
      </c>
      <c r="B1315" s="17">
        <f t="shared" si="10"/>
        <v>2.744</v>
      </c>
      <c r="C1315" s="4">
        <f t="shared" si="16"/>
        <v>1</v>
      </c>
      <c r="D1315" s="114">
        <f t="shared" si="16"/>
        <v>52</v>
      </c>
      <c r="E1315" s="15">
        <f t="shared" si="11"/>
        <v>25</v>
      </c>
      <c r="F1315" s="4">
        <f t="shared" si="12"/>
        <v>66</v>
      </c>
      <c r="G1315" s="15">
        <f t="shared" si="13"/>
        <v>66</v>
      </c>
    </row>
    <row r="1316" spans="1:7" ht="12.75">
      <c r="A1316" s="93">
        <f t="shared" si="9"/>
        <v>2708</v>
      </c>
      <c r="B1316" s="17">
        <f t="shared" si="10"/>
        <v>3.089</v>
      </c>
      <c r="C1316" s="4">
        <f t="shared" si="16"/>
        <v>1</v>
      </c>
      <c r="D1316" s="114">
        <f t="shared" si="16"/>
        <v>55</v>
      </c>
      <c r="E1316" s="15">
        <f t="shared" si="11"/>
        <v>50</v>
      </c>
      <c r="F1316" s="4">
        <f t="shared" si="12"/>
        <v>66</v>
      </c>
      <c r="G1316" s="15">
        <f t="shared" si="13"/>
        <v>66</v>
      </c>
    </row>
    <row r="1317" spans="1:7" ht="12.75">
      <c r="A1317" s="93">
        <f t="shared" si="9"/>
        <v>711</v>
      </c>
      <c r="B1317" s="17">
        <f t="shared" si="10"/>
        <v>3.459</v>
      </c>
      <c r="C1317" s="4">
        <f t="shared" si="16"/>
        <v>1</v>
      </c>
      <c r="D1317" s="114">
        <f t="shared" si="16"/>
        <v>50</v>
      </c>
      <c r="E1317" s="15">
        <f t="shared" si="11"/>
        <v>50</v>
      </c>
      <c r="F1317" s="4">
        <f t="shared" si="12"/>
        <v>66</v>
      </c>
      <c r="G1317" s="15">
        <f t="shared" si="13"/>
        <v>33</v>
      </c>
    </row>
    <row r="1318" spans="1:7" ht="12.75">
      <c r="A1318" s="93">
        <f aca="true" t="shared" si="17" ref="A1318:A1381">B131</f>
        <v>3332</v>
      </c>
      <c r="B1318" s="17">
        <f aca="true" t="shared" si="18" ref="B1318:B1381">E131</f>
        <v>3.472</v>
      </c>
      <c r="C1318" s="4">
        <f t="shared" si="16"/>
        <v>0</v>
      </c>
      <c r="D1318" s="114">
        <f t="shared" si="16"/>
        <v>55</v>
      </c>
      <c r="E1318" s="15">
        <f aca="true" t="shared" si="19" ref="E1318:E1381">IF(F131=1,25,IF(G131=1,50,IF(H131=1,75,100)))</f>
        <v>50</v>
      </c>
      <c r="F1318" s="4">
        <f aca="true" t="shared" si="20" ref="F1318:F1381">IF(J131=1,33,IF(K131=1,66,99))</f>
        <v>66</v>
      </c>
      <c r="G1318" s="15">
        <f aca="true" t="shared" si="21" ref="G1318:G1381">IF(M131=1,33,IF(N131=1,66,99))</f>
        <v>66</v>
      </c>
    </row>
    <row r="1319" spans="1:7" ht="12.75">
      <c r="A1319" s="93">
        <f t="shared" si="17"/>
        <v>2935</v>
      </c>
      <c r="B1319" s="17">
        <f t="shared" si="18"/>
        <v>4.434</v>
      </c>
      <c r="C1319" s="4">
        <f t="shared" si="16"/>
        <v>0</v>
      </c>
      <c r="D1319" s="114">
        <f t="shared" si="16"/>
        <v>55</v>
      </c>
      <c r="E1319" s="15">
        <f t="shared" si="19"/>
        <v>100</v>
      </c>
      <c r="F1319" s="4">
        <f t="shared" si="20"/>
        <v>66</v>
      </c>
      <c r="G1319" s="15">
        <f t="shared" si="21"/>
        <v>33</v>
      </c>
    </row>
    <row r="1320" spans="1:7" ht="12.75">
      <c r="A1320" s="93">
        <f t="shared" si="17"/>
        <v>3001</v>
      </c>
      <c r="B1320" s="17">
        <f t="shared" si="18"/>
        <v>2.177</v>
      </c>
      <c r="C1320" s="4">
        <f t="shared" si="16"/>
        <v>1</v>
      </c>
      <c r="D1320" s="114">
        <f t="shared" si="16"/>
        <v>53</v>
      </c>
      <c r="E1320" s="15">
        <f t="shared" si="19"/>
        <v>50</v>
      </c>
      <c r="F1320" s="4">
        <f t="shared" si="20"/>
        <v>66</v>
      </c>
      <c r="G1320" s="15">
        <f t="shared" si="21"/>
        <v>33</v>
      </c>
    </row>
    <row r="1321" spans="1:7" ht="12.75">
      <c r="A1321" s="93">
        <f t="shared" si="17"/>
        <v>3972</v>
      </c>
      <c r="B1321" s="17">
        <f t="shared" si="18"/>
        <v>3.713</v>
      </c>
      <c r="C1321" s="4">
        <f t="shared" si="16"/>
        <v>0</v>
      </c>
      <c r="D1321" s="114">
        <f t="shared" si="16"/>
        <v>54</v>
      </c>
      <c r="E1321" s="15">
        <f t="shared" si="19"/>
        <v>75</v>
      </c>
      <c r="F1321" s="4">
        <f t="shared" si="20"/>
        <v>99</v>
      </c>
      <c r="G1321" s="15">
        <f t="shared" si="21"/>
        <v>66</v>
      </c>
    </row>
    <row r="1322" spans="1:7" ht="12.75">
      <c r="A1322" s="93">
        <f t="shared" si="17"/>
        <v>455</v>
      </c>
      <c r="B1322" s="17">
        <f t="shared" si="18"/>
        <v>4.038</v>
      </c>
      <c r="C1322" s="4">
        <f t="shared" si="16"/>
        <v>0</v>
      </c>
      <c r="D1322" s="114">
        <f t="shared" si="16"/>
        <v>53</v>
      </c>
      <c r="E1322" s="15">
        <f t="shared" si="19"/>
        <v>100</v>
      </c>
      <c r="F1322" s="4">
        <f t="shared" si="20"/>
        <v>66</v>
      </c>
      <c r="G1322" s="15">
        <f t="shared" si="21"/>
        <v>66</v>
      </c>
    </row>
    <row r="1323" spans="1:7" ht="12.75">
      <c r="A1323" s="93">
        <f t="shared" si="17"/>
        <v>876</v>
      </c>
      <c r="B1323" s="17">
        <f t="shared" si="18"/>
        <v>3.749</v>
      </c>
      <c r="C1323" s="4">
        <f t="shared" si="16"/>
        <v>1</v>
      </c>
      <c r="D1323" s="114">
        <f t="shared" si="16"/>
        <v>53</v>
      </c>
      <c r="E1323" s="15">
        <f t="shared" si="19"/>
        <v>75</v>
      </c>
      <c r="F1323" s="4">
        <f t="shared" si="20"/>
        <v>66</v>
      </c>
      <c r="G1323" s="15">
        <f t="shared" si="21"/>
        <v>33</v>
      </c>
    </row>
    <row r="1324" spans="1:7" ht="12.75">
      <c r="A1324" s="93">
        <f t="shared" si="17"/>
        <v>2709</v>
      </c>
      <c r="B1324" s="17">
        <f t="shared" si="18"/>
        <v>3.539</v>
      </c>
      <c r="C1324" s="4">
        <f t="shared" si="16"/>
        <v>1</v>
      </c>
      <c r="D1324" s="114">
        <f t="shared" si="16"/>
        <v>55</v>
      </c>
      <c r="E1324" s="15">
        <f t="shared" si="19"/>
        <v>75</v>
      </c>
      <c r="F1324" s="4">
        <f t="shared" si="20"/>
        <v>66</v>
      </c>
      <c r="G1324" s="15">
        <f t="shared" si="21"/>
        <v>33</v>
      </c>
    </row>
    <row r="1325" spans="1:7" ht="12.75">
      <c r="A1325" s="93">
        <f t="shared" si="17"/>
        <v>527</v>
      </c>
      <c r="B1325" s="17">
        <f t="shared" si="18"/>
        <v>4.569</v>
      </c>
      <c r="C1325" s="4">
        <f t="shared" si="16"/>
        <v>1</v>
      </c>
      <c r="D1325" s="114">
        <f t="shared" si="16"/>
        <v>55</v>
      </c>
      <c r="E1325" s="15">
        <f t="shared" si="19"/>
        <v>100</v>
      </c>
      <c r="F1325" s="4">
        <f t="shared" si="20"/>
        <v>99</v>
      </c>
      <c r="G1325" s="15">
        <f t="shared" si="21"/>
        <v>66</v>
      </c>
    </row>
    <row r="1326" spans="1:7" ht="12.75">
      <c r="A1326" s="93">
        <f t="shared" si="17"/>
        <v>2997</v>
      </c>
      <c r="B1326" s="17">
        <f t="shared" si="18"/>
        <v>4.094</v>
      </c>
      <c r="C1326" s="4">
        <f t="shared" si="16"/>
        <v>1</v>
      </c>
      <c r="D1326" s="114">
        <f t="shared" si="16"/>
        <v>51</v>
      </c>
      <c r="E1326" s="15">
        <f t="shared" si="19"/>
        <v>100</v>
      </c>
      <c r="F1326" s="4">
        <f t="shared" si="20"/>
        <v>66</v>
      </c>
      <c r="G1326" s="15">
        <f t="shared" si="21"/>
        <v>66</v>
      </c>
    </row>
    <row r="1327" spans="1:7" ht="12.75">
      <c r="A1327" s="93">
        <f t="shared" si="17"/>
        <v>4282</v>
      </c>
      <c r="B1327" s="17">
        <f t="shared" si="18"/>
        <v>3.314</v>
      </c>
      <c r="C1327" s="4">
        <f t="shared" si="16"/>
        <v>1</v>
      </c>
      <c r="D1327" s="114">
        <f t="shared" si="16"/>
        <v>53</v>
      </c>
      <c r="E1327" s="15">
        <f t="shared" si="19"/>
        <v>50</v>
      </c>
      <c r="F1327" s="4">
        <f t="shared" si="20"/>
        <v>66</v>
      </c>
      <c r="G1327" s="15">
        <f t="shared" si="21"/>
        <v>66</v>
      </c>
    </row>
    <row r="1328" spans="1:7" ht="12.75">
      <c r="A1328" s="93">
        <f t="shared" si="17"/>
        <v>771</v>
      </c>
      <c r="B1328" s="17">
        <f t="shared" si="18"/>
        <v>2.953</v>
      </c>
      <c r="C1328" s="4">
        <f t="shared" si="16"/>
        <v>0</v>
      </c>
      <c r="D1328" s="114">
        <f t="shared" si="16"/>
        <v>54</v>
      </c>
      <c r="E1328" s="15">
        <f t="shared" si="19"/>
        <v>25</v>
      </c>
      <c r="F1328" s="4">
        <f t="shared" si="20"/>
        <v>66</v>
      </c>
      <c r="G1328" s="15">
        <f t="shared" si="21"/>
        <v>66</v>
      </c>
    </row>
    <row r="1329" spans="1:7" ht="12.75">
      <c r="A1329" s="93">
        <f t="shared" si="17"/>
        <v>2050</v>
      </c>
      <c r="B1329" s="17">
        <f t="shared" si="18"/>
        <v>3.323</v>
      </c>
      <c r="C1329" s="4">
        <f t="shared" si="16"/>
        <v>1</v>
      </c>
      <c r="D1329" s="114">
        <f t="shared" si="16"/>
        <v>52</v>
      </c>
      <c r="E1329" s="15">
        <f t="shared" si="19"/>
        <v>50</v>
      </c>
      <c r="F1329" s="4">
        <f t="shared" si="20"/>
        <v>66</v>
      </c>
      <c r="G1329" s="15">
        <f t="shared" si="21"/>
        <v>99</v>
      </c>
    </row>
    <row r="1330" spans="1:7" ht="12.75">
      <c r="A1330" s="93">
        <f t="shared" si="17"/>
        <v>3013</v>
      </c>
      <c r="B1330" s="17">
        <f t="shared" si="18"/>
        <v>4.401</v>
      </c>
      <c r="C1330" s="4">
        <f aca="true" t="shared" si="22" ref="C1330:D1349">C143</f>
        <v>1</v>
      </c>
      <c r="D1330" s="114">
        <f t="shared" si="22"/>
        <v>51</v>
      </c>
      <c r="E1330" s="15">
        <f t="shared" si="19"/>
        <v>100</v>
      </c>
      <c r="F1330" s="4">
        <f t="shared" si="20"/>
        <v>99</v>
      </c>
      <c r="G1330" s="15">
        <f t="shared" si="21"/>
        <v>66</v>
      </c>
    </row>
    <row r="1331" spans="1:7" ht="12.75">
      <c r="A1331" s="93">
        <f t="shared" si="17"/>
        <v>758</v>
      </c>
      <c r="B1331" s="17">
        <f t="shared" si="18"/>
        <v>2.751</v>
      </c>
      <c r="C1331" s="4">
        <f t="shared" si="22"/>
        <v>1</v>
      </c>
      <c r="D1331" s="114">
        <f t="shared" si="22"/>
        <v>52</v>
      </c>
      <c r="E1331" s="15">
        <f t="shared" si="19"/>
        <v>25</v>
      </c>
      <c r="F1331" s="4">
        <f t="shared" si="20"/>
        <v>66</v>
      </c>
      <c r="G1331" s="15">
        <f t="shared" si="21"/>
        <v>33</v>
      </c>
    </row>
    <row r="1332" spans="1:7" ht="12.75">
      <c r="A1332" s="93">
        <f t="shared" si="17"/>
        <v>2545</v>
      </c>
      <c r="B1332" s="17">
        <f t="shared" si="18"/>
        <v>4.049</v>
      </c>
      <c r="C1332" s="4">
        <f t="shared" si="22"/>
        <v>0</v>
      </c>
      <c r="D1332" s="114">
        <f t="shared" si="22"/>
        <v>51</v>
      </c>
      <c r="E1332" s="15">
        <f t="shared" si="19"/>
        <v>100</v>
      </c>
      <c r="F1332" s="4">
        <f t="shared" si="20"/>
        <v>66</v>
      </c>
      <c r="G1332" s="15">
        <f t="shared" si="21"/>
        <v>66</v>
      </c>
    </row>
    <row r="1333" spans="1:7" ht="12.75">
      <c r="A1333" s="93">
        <f t="shared" si="17"/>
        <v>1104</v>
      </c>
      <c r="B1333" s="17">
        <f t="shared" si="18"/>
        <v>3.83</v>
      </c>
      <c r="C1333" s="4">
        <f t="shared" si="22"/>
        <v>0</v>
      </c>
      <c r="D1333" s="114">
        <f t="shared" si="22"/>
        <v>53</v>
      </c>
      <c r="E1333" s="15">
        <f t="shared" si="19"/>
        <v>75</v>
      </c>
      <c r="F1333" s="4">
        <f t="shared" si="20"/>
        <v>99</v>
      </c>
      <c r="G1333" s="15">
        <f t="shared" si="21"/>
        <v>66</v>
      </c>
    </row>
    <row r="1334" spans="1:7" ht="12.75">
      <c r="A1334" s="93">
        <f t="shared" si="17"/>
        <v>4450</v>
      </c>
      <c r="B1334" s="17">
        <f t="shared" si="18"/>
        <v>2.085</v>
      </c>
      <c r="C1334" s="4">
        <f t="shared" si="22"/>
        <v>0</v>
      </c>
      <c r="D1334" s="114">
        <f t="shared" si="22"/>
        <v>52</v>
      </c>
      <c r="E1334" s="15">
        <f t="shared" si="19"/>
        <v>25</v>
      </c>
      <c r="F1334" s="4">
        <f t="shared" si="20"/>
        <v>66</v>
      </c>
      <c r="G1334" s="15">
        <f t="shared" si="21"/>
        <v>99</v>
      </c>
    </row>
    <row r="1335" spans="1:7" ht="12.75">
      <c r="A1335" s="93">
        <f t="shared" si="17"/>
        <v>4506</v>
      </c>
      <c r="B1335" s="17">
        <f t="shared" si="18"/>
        <v>3.355</v>
      </c>
      <c r="C1335" s="4">
        <f t="shared" si="22"/>
        <v>1</v>
      </c>
      <c r="D1335" s="114">
        <f t="shared" si="22"/>
        <v>52</v>
      </c>
      <c r="E1335" s="15">
        <f t="shared" si="19"/>
        <v>50</v>
      </c>
      <c r="F1335" s="4">
        <f t="shared" si="20"/>
        <v>99</v>
      </c>
      <c r="G1335" s="15">
        <f t="shared" si="21"/>
        <v>99</v>
      </c>
    </row>
    <row r="1336" spans="1:7" ht="12.75">
      <c r="A1336" s="93">
        <f t="shared" si="17"/>
        <v>837</v>
      </c>
      <c r="B1336" s="17">
        <f t="shared" si="18"/>
        <v>3.095</v>
      </c>
      <c r="C1336" s="4">
        <f t="shared" si="22"/>
        <v>0</v>
      </c>
      <c r="D1336" s="114">
        <f t="shared" si="22"/>
        <v>53</v>
      </c>
      <c r="E1336" s="15">
        <f t="shared" si="19"/>
        <v>50</v>
      </c>
      <c r="F1336" s="4">
        <f t="shared" si="20"/>
        <v>66</v>
      </c>
      <c r="G1336" s="15">
        <f t="shared" si="21"/>
        <v>33</v>
      </c>
    </row>
    <row r="1337" spans="1:7" ht="12.75">
      <c r="A1337" s="93">
        <f t="shared" si="17"/>
        <v>941</v>
      </c>
      <c r="B1337" s="17">
        <f t="shared" si="18"/>
        <v>2.976</v>
      </c>
      <c r="C1337" s="4">
        <f t="shared" si="22"/>
        <v>0</v>
      </c>
      <c r="D1337" s="114">
        <f t="shared" si="22"/>
        <v>52</v>
      </c>
      <c r="E1337" s="15">
        <f t="shared" si="19"/>
        <v>25</v>
      </c>
      <c r="F1337" s="4">
        <f t="shared" si="20"/>
        <v>66</v>
      </c>
      <c r="G1337" s="15">
        <f t="shared" si="21"/>
        <v>99</v>
      </c>
    </row>
    <row r="1338" spans="1:7" ht="12.75">
      <c r="A1338" s="93">
        <f t="shared" si="17"/>
        <v>591</v>
      </c>
      <c r="B1338" s="17">
        <f t="shared" si="18"/>
        <v>3.344</v>
      </c>
      <c r="C1338" s="4">
        <f t="shared" si="22"/>
        <v>1</v>
      </c>
      <c r="D1338" s="114">
        <f t="shared" si="22"/>
        <v>52</v>
      </c>
      <c r="E1338" s="15">
        <f t="shared" si="19"/>
        <v>50</v>
      </c>
      <c r="F1338" s="4">
        <f t="shared" si="20"/>
        <v>66</v>
      </c>
      <c r="G1338" s="15">
        <f t="shared" si="21"/>
        <v>33</v>
      </c>
    </row>
    <row r="1339" spans="1:7" ht="12.75">
      <c r="A1339" s="93">
        <f t="shared" si="17"/>
        <v>233</v>
      </c>
      <c r="B1339" s="17">
        <f t="shared" si="18"/>
        <v>3.531</v>
      </c>
      <c r="C1339" s="4">
        <f t="shared" si="22"/>
        <v>0</v>
      </c>
      <c r="D1339" s="114">
        <f t="shared" si="22"/>
        <v>55</v>
      </c>
      <c r="E1339" s="15">
        <f t="shared" si="19"/>
        <v>75</v>
      </c>
      <c r="F1339" s="4">
        <f t="shared" si="20"/>
        <v>66</v>
      </c>
      <c r="G1339" s="15">
        <f t="shared" si="21"/>
        <v>66</v>
      </c>
    </row>
    <row r="1340" spans="1:7" ht="12.75">
      <c r="A1340" s="93">
        <f t="shared" si="17"/>
        <v>1472</v>
      </c>
      <c r="B1340" s="17">
        <f t="shared" si="18"/>
        <v>2.318</v>
      </c>
      <c r="C1340" s="4">
        <f t="shared" si="22"/>
        <v>1</v>
      </c>
      <c r="D1340" s="114">
        <f t="shared" si="22"/>
        <v>52</v>
      </c>
      <c r="E1340" s="15">
        <f t="shared" si="19"/>
        <v>25</v>
      </c>
      <c r="F1340" s="4">
        <f t="shared" si="20"/>
        <v>66</v>
      </c>
      <c r="G1340" s="15">
        <f t="shared" si="21"/>
        <v>33</v>
      </c>
    </row>
    <row r="1341" spans="1:7" ht="12.75">
      <c r="A1341" s="93">
        <f t="shared" si="17"/>
        <v>4320</v>
      </c>
      <c r="B1341" s="17">
        <f t="shared" si="18"/>
        <v>3.507</v>
      </c>
      <c r="C1341" s="4">
        <f t="shared" si="22"/>
        <v>0</v>
      </c>
      <c r="D1341" s="114">
        <f t="shared" si="22"/>
        <v>52</v>
      </c>
      <c r="E1341" s="15">
        <f t="shared" si="19"/>
        <v>50</v>
      </c>
      <c r="F1341" s="4">
        <f t="shared" si="20"/>
        <v>66</v>
      </c>
      <c r="G1341" s="15">
        <f t="shared" si="21"/>
        <v>99</v>
      </c>
    </row>
    <row r="1342" spans="1:7" ht="12.75">
      <c r="A1342" s="93">
        <f t="shared" si="17"/>
        <v>749</v>
      </c>
      <c r="B1342" s="17">
        <f t="shared" si="18"/>
        <v>3.551</v>
      </c>
      <c r="C1342" s="4">
        <f t="shared" si="22"/>
        <v>1</v>
      </c>
      <c r="D1342" s="114">
        <f t="shared" si="22"/>
        <v>54</v>
      </c>
      <c r="E1342" s="15">
        <f t="shared" si="19"/>
        <v>75</v>
      </c>
      <c r="F1342" s="4">
        <f t="shared" si="20"/>
        <v>66</v>
      </c>
      <c r="G1342" s="15">
        <f t="shared" si="21"/>
        <v>66</v>
      </c>
    </row>
    <row r="1343" spans="1:7" ht="12.75">
      <c r="A1343" s="93">
        <f t="shared" si="17"/>
        <v>3079</v>
      </c>
      <c r="B1343" s="17">
        <f t="shared" si="18"/>
        <v>3.527</v>
      </c>
      <c r="C1343" s="4">
        <f t="shared" si="22"/>
        <v>0</v>
      </c>
      <c r="D1343" s="114">
        <f t="shared" si="22"/>
        <v>53</v>
      </c>
      <c r="E1343" s="15">
        <f t="shared" si="19"/>
        <v>75</v>
      </c>
      <c r="F1343" s="4">
        <f t="shared" si="20"/>
        <v>99</v>
      </c>
      <c r="G1343" s="15">
        <f t="shared" si="21"/>
        <v>66</v>
      </c>
    </row>
    <row r="1344" spans="1:7" ht="12.75">
      <c r="A1344" s="93">
        <f t="shared" si="17"/>
        <v>3654</v>
      </c>
      <c r="B1344" s="17">
        <f t="shared" si="18"/>
        <v>3.8</v>
      </c>
      <c r="C1344" s="4">
        <f t="shared" si="22"/>
        <v>0</v>
      </c>
      <c r="D1344" s="114">
        <f t="shared" si="22"/>
        <v>55</v>
      </c>
      <c r="E1344" s="15">
        <f t="shared" si="19"/>
        <v>75</v>
      </c>
      <c r="F1344" s="4">
        <f t="shared" si="20"/>
        <v>33</v>
      </c>
      <c r="G1344" s="15">
        <f t="shared" si="21"/>
        <v>33</v>
      </c>
    </row>
    <row r="1345" spans="1:7" ht="12.75">
      <c r="A1345" s="93">
        <f t="shared" si="17"/>
        <v>3480</v>
      </c>
      <c r="B1345" s="17">
        <f t="shared" si="18"/>
        <v>3.617</v>
      </c>
      <c r="C1345" s="4">
        <f t="shared" si="22"/>
        <v>1</v>
      </c>
      <c r="D1345" s="114">
        <f t="shared" si="22"/>
        <v>54</v>
      </c>
      <c r="E1345" s="15">
        <f t="shared" si="19"/>
        <v>75</v>
      </c>
      <c r="F1345" s="4">
        <f t="shared" si="20"/>
        <v>66</v>
      </c>
      <c r="G1345" s="15">
        <f t="shared" si="21"/>
        <v>66</v>
      </c>
    </row>
    <row r="1346" spans="1:7" ht="12.75">
      <c r="A1346" s="93">
        <f t="shared" si="17"/>
        <v>3564</v>
      </c>
      <c r="B1346" s="17">
        <f t="shared" si="18"/>
        <v>3.39</v>
      </c>
      <c r="C1346" s="4">
        <f t="shared" si="22"/>
        <v>0</v>
      </c>
      <c r="D1346" s="114">
        <f t="shared" si="22"/>
        <v>54</v>
      </c>
      <c r="E1346" s="15">
        <f t="shared" si="19"/>
        <v>50</v>
      </c>
      <c r="F1346" s="4">
        <f t="shared" si="20"/>
        <v>66</v>
      </c>
      <c r="G1346" s="15">
        <f t="shared" si="21"/>
        <v>33</v>
      </c>
    </row>
    <row r="1347" spans="1:7" ht="12.75">
      <c r="A1347" s="93">
        <f t="shared" si="17"/>
        <v>670</v>
      </c>
      <c r="B1347" s="17">
        <f t="shared" si="18"/>
        <v>2.878</v>
      </c>
      <c r="C1347" s="4">
        <f t="shared" si="22"/>
        <v>0</v>
      </c>
      <c r="D1347" s="114">
        <f t="shared" si="22"/>
        <v>52</v>
      </c>
      <c r="E1347" s="15">
        <f t="shared" si="19"/>
        <v>25</v>
      </c>
      <c r="F1347" s="4">
        <f t="shared" si="20"/>
        <v>66</v>
      </c>
      <c r="G1347" s="15">
        <f t="shared" si="21"/>
        <v>66</v>
      </c>
    </row>
    <row r="1348" spans="1:7" ht="12.75">
      <c r="A1348" s="93">
        <f t="shared" si="17"/>
        <v>2028</v>
      </c>
      <c r="B1348" s="17">
        <f t="shared" si="18"/>
        <v>2.354</v>
      </c>
      <c r="C1348" s="4">
        <f t="shared" si="22"/>
        <v>1</v>
      </c>
      <c r="D1348" s="114">
        <f t="shared" si="22"/>
        <v>53</v>
      </c>
      <c r="E1348" s="15">
        <f t="shared" si="19"/>
        <v>25</v>
      </c>
      <c r="F1348" s="4">
        <f t="shared" si="20"/>
        <v>99</v>
      </c>
      <c r="G1348" s="15">
        <f t="shared" si="21"/>
        <v>66</v>
      </c>
    </row>
    <row r="1349" spans="1:7" ht="12.75">
      <c r="A1349" s="93">
        <f t="shared" si="17"/>
        <v>1813</v>
      </c>
      <c r="B1349" s="17">
        <f t="shared" si="18"/>
        <v>4.418</v>
      </c>
      <c r="C1349" s="4">
        <f t="shared" si="22"/>
        <v>1</v>
      </c>
      <c r="D1349" s="114">
        <f t="shared" si="22"/>
        <v>51</v>
      </c>
      <c r="E1349" s="15">
        <f t="shared" si="19"/>
        <v>100</v>
      </c>
      <c r="F1349" s="4">
        <f t="shared" si="20"/>
        <v>99</v>
      </c>
      <c r="G1349" s="15">
        <f t="shared" si="21"/>
        <v>66</v>
      </c>
    </row>
    <row r="1350" spans="1:7" ht="12.75">
      <c r="A1350" s="93">
        <f t="shared" si="17"/>
        <v>1850</v>
      </c>
      <c r="B1350" s="17">
        <f t="shared" si="18"/>
        <v>3.416</v>
      </c>
      <c r="C1350" s="4">
        <f aca="true" t="shared" si="23" ref="C1350:D1369">C163</f>
        <v>0</v>
      </c>
      <c r="D1350" s="114">
        <f t="shared" si="23"/>
        <v>53</v>
      </c>
      <c r="E1350" s="15">
        <f t="shared" si="19"/>
        <v>50</v>
      </c>
      <c r="F1350" s="4">
        <f t="shared" si="20"/>
        <v>99</v>
      </c>
      <c r="G1350" s="15">
        <f t="shared" si="21"/>
        <v>66</v>
      </c>
    </row>
    <row r="1351" spans="1:7" ht="12.75">
      <c r="A1351" s="93">
        <f t="shared" si="17"/>
        <v>589</v>
      </c>
      <c r="B1351" s="17">
        <f t="shared" si="18"/>
        <v>2.218</v>
      </c>
      <c r="C1351" s="4">
        <f t="shared" si="23"/>
        <v>0</v>
      </c>
      <c r="D1351" s="114">
        <f t="shared" si="23"/>
        <v>52</v>
      </c>
      <c r="E1351" s="15">
        <f t="shared" si="19"/>
        <v>25</v>
      </c>
      <c r="F1351" s="4">
        <f t="shared" si="20"/>
        <v>66</v>
      </c>
      <c r="G1351" s="15">
        <f t="shared" si="21"/>
        <v>66</v>
      </c>
    </row>
    <row r="1352" spans="1:7" ht="12.75">
      <c r="A1352" s="93">
        <f t="shared" si="17"/>
        <v>2219</v>
      </c>
      <c r="B1352" s="17">
        <f t="shared" si="18"/>
        <v>3.419</v>
      </c>
      <c r="C1352" s="4">
        <f t="shared" si="23"/>
        <v>0</v>
      </c>
      <c r="D1352" s="114">
        <f t="shared" si="23"/>
        <v>53</v>
      </c>
      <c r="E1352" s="15">
        <f t="shared" si="19"/>
        <v>75</v>
      </c>
      <c r="F1352" s="4">
        <f t="shared" si="20"/>
        <v>66</v>
      </c>
      <c r="G1352" s="15">
        <f t="shared" si="21"/>
        <v>66</v>
      </c>
    </row>
    <row r="1353" spans="1:7" ht="12.75">
      <c r="A1353" s="93">
        <f t="shared" si="17"/>
        <v>1176</v>
      </c>
      <c r="B1353" s="17">
        <f t="shared" si="18"/>
        <v>3.724</v>
      </c>
      <c r="C1353" s="4">
        <f t="shared" si="23"/>
        <v>1</v>
      </c>
      <c r="D1353" s="114">
        <f t="shared" si="23"/>
        <v>53</v>
      </c>
      <c r="E1353" s="15">
        <f t="shared" si="19"/>
        <v>75</v>
      </c>
      <c r="F1353" s="4">
        <f t="shared" si="20"/>
        <v>99</v>
      </c>
      <c r="G1353" s="15">
        <f t="shared" si="21"/>
        <v>66</v>
      </c>
    </row>
    <row r="1354" spans="1:7" ht="12.75">
      <c r="A1354" s="93">
        <f t="shared" si="17"/>
        <v>3991</v>
      </c>
      <c r="B1354" s="17">
        <f t="shared" si="18"/>
        <v>3.31</v>
      </c>
      <c r="C1354" s="4">
        <f t="shared" si="23"/>
        <v>1</v>
      </c>
      <c r="D1354" s="114">
        <f t="shared" si="23"/>
        <v>54</v>
      </c>
      <c r="E1354" s="15">
        <f t="shared" si="19"/>
        <v>50</v>
      </c>
      <c r="F1354" s="4">
        <f t="shared" si="20"/>
        <v>99</v>
      </c>
      <c r="G1354" s="15">
        <f t="shared" si="21"/>
        <v>66</v>
      </c>
    </row>
    <row r="1355" spans="1:7" ht="12.75">
      <c r="A1355" s="93">
        <f t="shared" si="17"/>
        <v>4338</v>
      </c>
      <c r="B1355" s="17">
        <f t="shared" si="18"/>
        <v>3.319</v>
      </c>
      <c r="C1355" s="4">
        <f t="shared" si="23"/>
        <v>1</v>
      </c>
      <c r="D1355" s="114">
        <f t="shared" si="23"/>
        <v>52</v>
      </c>
      <c r="E1355" s="15">
        <f t="shared" si="19"/>
        <v>50</v>
      </c>
      <c r="F1355" s="4">
        <f t="shared" si="20"/>
        <v>33</v>
      </c>
      <c r="G1355" s="15">
        <f t="shared" si="21"/>
        <v>33</v>
      </c>
    </row>
    <row r="1356" spans="1:7" ht="12.75">
      <c r="A1356" s="93">
        <f t="shared" si="17"/>
        <v>3424</v>
      </c>
      <c r="B1356" s="17">
        <f t="shared" si="18"/>
        <v>3.96</v>
      </c>
      <c r="C1356" s="4">
        <f t="shared" si="23"/>
        <v>1</v>
      </c>
      <c r="D1356" s="114">
        <f t="shared" si="23"/>
        <v>51</v>
      </c>
      <c r="E1356" s="15">
        <f t="shared" si="19"/>
        <v>100</v>
      </c>
      <c r="F1356" s="4">
        <f t="shared" si="20"/>
        <v>33</v>
      </c>
      <c r="G1356" s="15">
        <f t="shared" si="21"/>
        <v>33</v>
      </c>
    </row>
    <row r="1357" spans="1:7" ht="12.75">
      <c r="A1357" s="93">
        <f t="shared" si="17"/>
        <v>4082</v>
      </c>
      <c r="B1357" s="17">
        <f t="shared" si="18"/>
        <v>3.366</v>
      </c>
      <c r="C1357" s="4">
        <f t="shared" si="23"/>
        <v>0</v>
      </c>
      <c r="D1357" s="114">
        <f t="shared" si="23"/>
        <v>52</v>
      </c>
      <c r="E1357" s="15">
        <f t="shared" si="19"/>
        <v>50</v>
      </c>
      <c r="F1357" s="4">
        <f t="shared" si="20"/>
        <v>66</v>
      </c>
      <c r="G1357" s="15">
        <f t="shared" si="21"/>
        <v>33</v>
      </c>
    </row>
    <row r="1358" spans="1:7" ht="12.75">
      <c r="A1358" s="93">
        <f t="shared" si="17"/>
        <v>2017</v>
      </c>
      <c r="B1358" s="17">
        <f t="shared" si="18"/>
        <v>3.368</v>
      </c>
      <c r="C1358" s="4">
        <f t="shared" si="23"/>
        <v>0</v>
      </c>
      <c r="D1358" s="114">
        <f t="shared" si="23"/>
        <v>54</v>
      </c>
      <c r="E1358" s="15">
        <f t="shared" si="19"/>
        <v>50</v>
      </c>
      <c r="F1358" s="4">
        <f t="shared" si="20"/>
        <v>99</v>
      </c>
      <c r="G1358" s="15">
        <f t="shared" si="21"/>
        <v>99</v>
      </c>
    </row>
    <row r="1359" spans="1:7" ht="12.75">
      <c r="A1359" s="93">
        <f t="shared" si="17"/>
        <v>3738</v>
      </c>
      <c r="B1359" s="17">
        <f t="shared" si="18"/>
        <v>3.321</v>
      </c>
      <c r="C1359" s="4">
        <f t="shared" si="23"/>
        <v>1</v>
      </c>
      <c r="D1359" s="114">
        <f t="shared" si="23"/>
        <v>52</v>
      </c>
      <c r="E1359" s="15">
        <f t="shared" si="19"/>
        <v>50</v>
      </c>
      <c r="F1359" s="4">
        <f t="shared" si="20"/>
        <v>99</v>
      </c>
      <c r="G1359" s="15">
        <f t="shared" si="21"/>
        <v>66</v>
      </c>
    </row>
    <row r="1360" spans="1:7" ht="12.75">
      <c r="A1360" s="93">
        <f t="shared" si="17"/>
        <v>639</v>
      </c>
      <c r="B1360" s="17">
        <f t="shared" si="18"/>
        <v>3.601</v>
      </c>
      <c r="C1360" s="4">
        <f t="shared" si="23"/>
        <v>1</v>
      </c>
      <c r="D1360" s="114">
        <f t="shared" si="23"/>
        <v>56</v>
      </c>
      <c r="E1360" s="15">
        <f t="shared" si="19"/>
        <v>75</v>
      </c>
      <c r="F1360" s="4">
        <f t="shared" si="20"/>
        <v>66</v>
      </c>
      <c r="G1360" s="15">
        <f t="shared" si="21"/>
        <v>66</v>
      </c>
    </row>
    <row r="1361" spans="1:7" ht="12.75">
      <c r="A1361" s="93">
        <f t="shared" si="17"/>
        <v>4491</v>
      </c>
      <c r="B1361" s="17">
        <f t="shared" si="18"/>
        <v>2.938</v>
      </c>
      <c r="C1361" s="4">
        <f t="shared" si="23"/>
        <v>1</v>
      </c>
      <c r="D1361" s="114">
        <f t="shared" si="23"/>
        <v>53</v>
      </c>
      <c r="E1361" s="15">
        <f t="shared" si="19"/>
        <v>75</v>
      </c>
      <c r="F1361" s="4">
        <f t="shared" si="20"/>
        <v>66</v>
      </c>
      <c r="G1361" s="15">
        <f t="shared" si="21"/>
        <v>33</v>
      </c>
    </row>
    <row r="1362" spans="1:7" ht="12.75">
      <c r="A1362" s="93">
        <f t="shared" si="17"/>
        <v>159</v>
      </c>
      <c r="B1362" s="17">
        <f t="shared" si="18"/>
        <v>3.088</v>
      </c>
      <c r="C1362" s="4">
        <f t="shared" si="23"/>
        <v>0</v>
      </c>
      <c r="D1362" s="114">
        <f t="shared" si="23"/>
        <v>52</v>
      </c>
      <c r="E1362" s="15">
        <f t="shared" si="19"/>
        <v>25</v>
      </c>
      <c r="F1362" s="4">
        <f t="shared" si="20"/>
        <v>66</v>
      </c>
      <c r="G1362" s="15">
        <f t="shared" si="21"/>
        <v>33</v>
      </c>
    </row>
    <row r="1363" spans="1:7" ht="12.75">
      <c r="A1363" s="93">
        <f t="shared" si="17"/>
        <v>4545</v>
      </c>
      <c r="B1363" s="17">
        <f t="shared" si="18"/>
        <v>2.893</v>
      </c>
      <c r="C1363" s="4">
        <f t="shared" si="23"/>
        <v>0</v>
      </c>
      <c r="D1363" s="114">
        <f t="shared" si="23"/>
        <v>51</v>
      </c>
      <c r="E1363" s="15">
        <f t="shared" si="19"/>
        <v>25</v>
      </c>
      <c r="F1363" s="4">
        <f t="shared" si="20"/>
        <v>33</v>
      </c>
      <c r="G1363" s="15">
        <f t="shared" si="21"/>
        <v>33</v>
      </c>
    </row>
    <row r="1364" spans="1:7" ht="12.75">
      <c r="A1364" s="93">
        <f t="shared" si="17"/>
        <v>4202</v>
      </c>
      <c r="B1364" s="17">
        <f t="shared" si="18"/>
        <v>4.002</v>
      </c>
      <c r="C1364" s="4">
        <f t="shared" si="23"/>
        <v>1</v>
      </c>
      <c r="D1364" s="114">
        <f t="shared" si="23"/>
        <v>54</v>
      </c>
      <c r="E1364" s="15">
        <f t="shared" si="19"/>
        <v>100</v>
      </c>
      <c r="F1364" s="4">
        <f t="shared" si="20"/>
        <v>66</v>
      </c>
      <c r="G1364" s="15">
        <f t="shared" si="21"/>
        <v>99</v>
      </c>
    </row>
    <row r="1365" spans="1:7" ht="12.75">
      <c r="A1365" s="93">
        <f t="shared" si="17"/>
        <v>2641</v>
      </c>
      <c r="B1365" s="17">
        <f t="shared" si="18"/>
        <v>3.026</v>
      </c>
      <c r="C1365" s="4">
        <f t="shared" si="23"/>
        <v>0</v>
      </c>
      <c r="D1365" s="114">
        <f t="shared" si="23"/>
        <v>52</v>
      </c>
      <c r="E1365" s="15">
        <f t="shared" si="19"/>
        <v>25</v>
      </c>
      <c r="F1365" s="4">
        <f t="shared" si="20"/>
        <v>66</v>
      </c>
      <c r="G1365" s="15">
        <f t="shared" si="21"/>
        <v>99</v>
      </c>
    </row>
    <row r="1366" spans="1:7" ht="12.75">
      <c r="A1366" s="93">
        <f t="shared" si="17"/>
        <v>4170</v>
      </c>
      <c r="B1366" s="17">
        <f t="shared" si="18"/>
        <v>2.992</v>
      </c>
      <c r="C1366" s="4">
        <f t="shared" si="23"/>
        <v>1</v>
      </c>
      <c r="D1366" s="114">
        <f t="shared" si="23"/>
        <v>55</v>
      </c>
      <c r="E1366" s="15">
        <f t="shared" si="19"/>
        <v>25</v>
      </c>
      <c r="F1366" s="4">
        <f t="shared" si="20"/>
        <v>66</v>
      </c>
      <c r="G1366" s="15">
        <f t="shared" si="21"/>
        <v>66</v>
      </c>
    </row>
    <row r="1367" spans="1:7" ht="12.75">
      <c r="A1367" s="93">
        <f t="shared" si="17"/>
        <v>2893</v>
      </c>
      <c r="B1367" s="17">
        <f t="shared" si="18"/>
        <v>3.478</v>
      </c>
      <c r="C1367" s="4">
        <f t="shared" si="23"/>
        <v>1</v>
      </c>
      <c r="D1367" s="114">
        <f t="shared" si="23"/>
        <v>53</v>
      </c>
      <c r="E1367" s="15">
        <f t="shared" si="19"/>
        <v>75</v>
      </c>
      <c r="F1367" s="4">
        <f t="shared" si="20"/>
        <v>66</v>
      </c>
      <c r="G1367" s="15">
        <f t="shared" si="21"/>
        <v>66</v>
      </c>
    </row>
    <row r="1368" spans="1:7" ht="12.75">
      <c r="A1368" s="93">
        <f t="shared" si="17"/>
        <v>4038</v>
      </c>
      <c r="B1368" s="17">
        <f t="shared" si="18"/>
        <v>3.973</v>
      </c>
      <c r="C1368" s="4">
        <f t="shared" si="23"/>
        <v>1</v>
      </c>
      <c r="D1368" s="114">
        <f t="shared" si="23"/>
        <v>53</v>
      </c>
      <c r="E1368" s="15">
        <f t="shared" si="19"/>
        <v>100</v>
      </c>
      <c r="F1368" s="4">
        <f t="shared" si="20"/>
        <v>66</v>
      </c>
      <c r="G1368" s="15">
        <f t="shared" si="21"/>
        <v>66</v>
      </c>
    </row>
    <row r="1369" spans="1:7" ht="12.75">
      <c r="A1369" s="93">
        <f t="shared" si="17"/>
        <v>207</v>
      </c>
      <c r="B1369" s="17">
        <f t="shared" si="18"/>
        <v>3.687</v>
      </c>
      <c r="C1369" s="4">
        <f t="shared" si="23"/>
        <v>1</v>
      </c>
      <c r="D1369" s="114">
        <f t="shared" si="23"/>
        <v>56</v>
      </c>
      <c r="E1369" s="15">
        <f t="shared" si="19"/>
        <v>75</v>
      </c>
      <c r="F1369" s="4">
        <f t="shared" si="20"/>
        <v>33</v>
      </c>
      <c r="G1369" s="15">
        <f t="shared" si="21"/>
        <v>33</v>
      </c>
    </row>
    <row r="1370" spans="1:7" ht="12.75">
      <c r="A1370" s="93">
        <f t="shared" si="17"/>
        <v>3565</v>
      </c>
      <c r="B1370" s="17">
        <f t="shared" si="18"/>
        <v>3.228</v>
      </c>
      <c r="C1370" s="4">
        <f aca="true" t="shared" si="24" ref="C1370:D1389">C183</f>
        <v>1</v>
      </c>
      <c r="D1370" s="114">
        <f t="shared" si="24"/>
        <v>54</v>
      </c>
      <c r="E1370" s="15">
        <f t="shared" si="19"/>
        <v>50</v>
      </c>
      <c r="F1370" s="4">
        <f t="shared" si="20"/>
        <v>33</v>
      </c>
      <c r="G1370" s="15">
        <f t="shared" si="21"/>
        <v>33</v>
      </c>
    </row>
    <row r="1371" spans="1:7" ht="12.75">
      <c r="A1371" s="93">
        <f t="shared" si="17"/>
        <v>978</v>
      </c>
      <c r="B1371" s="17">
        <f t="shared" si="18"/>
        <v>3.632</v>
      </c>
      <c r="C1371" s="4">
        <f t="shared" si="24"/>
        <v>0</v>
      </c>
      <c r="D1371" s="114">
        <f t="shared" si="24"/>
        <v>54</v>
      </c>
      <c r="E1371" s="15">
        <f t="shared" si="19"/>
        <v>75</v>
      </c>
      <c r="F1371" s="4">
        <f t="shared" si="20"/>
        <v>66</v>
      </c>
      <c r="G1371" s="15">
        <f t="shared" si="21"/>
        <v>66</v>
      </c>
    </row>
    <row r="1372" spans="1:7" ht="12.75">
      <c r="A1372" s="93">
        <f t="shared" si="17"/>
        <v>4212</v>
      </c>
      <c r="B1372" s="17">
        <f t="shared" si="18"/>
        <v>3.047</v>
      </c>
      <c r="C1372" s="4">
        <f t="shared" si="24"/>
        <v>0</v>
      </c>
      <c r="D1372" s="114">
        <f t="shared" si="24"/>
        <v>54</v>
      </c>
      <c r="E1372" s="15">
        <f t="shared" si="19"/>
        <v>25</v>
      </c>
      <c r="F1372" s="4">
        <f t="shared" si="20"/>
        <v>66</v>
      </c>
      <c r="G1372" s="15">
        <f t="shared" si="21"/>
        <v>99</v>
      </c>
    </row>
    <row r="1373" spans="1:7" ht="12.75">
      <c r="A1373" s="93">
        <f t="shared" si="17"/>
        <v>999</v>
      </c>
      <c r="B1373" s="17">
        <f t="shared" si="18"/>
        <v>3.875</v>
      </c>
      <c r="C1373" s="4">
        <f t="shared" si="24"/>
        <v>0</v>
      </c>
      <c r="D1373" s="114">
        <f t="shared" si="24"/>
        <v>55</v>
      </c>
      <c r="E1373" s="15">
        <f t="shared" si="19"/>
        <v>100</v>
      </c>
      <c r="F1373" s="4">
        <f t="shared" si="20"/>
        <v>66</v>
      </c>
      <c r="G1373" s="15">
        <f t="shared" si="21"/>
        <v>33</v>
      </c>
    </row>
    <row r="1374" spans="1:7" ht="12.75">
      <c r="A1374" s="93">
        <f t="shared" si="17"/>
        <v>1018</v>
      </c>
      <c r="B1374" s="17">
        <f t="shared" si="18"/>
        <v>3.334</v>
      </c>
      <c r="C1374" s="4">
        <f t="shared" si="24"/>
        <v>0</v>
      </c>
      <c r="D1374" s="114">
        <f t="shared" si="24"/>
        <v>53</v>
      </c>
      <c r="E1374" s="15">
        <f t="shared" si="19"/>
        <v>50</v>
      </c>
      <c r="F1374" s="4">
        <f t="shared" si="20"/>
        <v>66</v>
      </c>
      <c r="G1374" s="15">
        <f t="shared" si="21"/>
        <v>33</v>
      </c>
    </row>
    <row r="1375" spans="1:7" ht="12.75">
      <c r="A1375" s="93">
        <f t="shared" si="17"/>
        <v>4420</v>
      </c>
      <c r="B1375" s="17">
        <f t="shared" si="18"/>
        <v>3.359</v>
      </c>
      <c r="C1375" s="4">
        <f t="shared" si="24"/>
        <v>0</v>
      </c>
      <c r="D1375" s="114">
        <f t="shared" si="24"/>
        <v>52</v>
      </c>
      <c r="E1375" s="15">
        <f t="shared" si="19"/>
        <v>50</v>
      </c>
      <c r="F1375" s="4">
        <f t="shared" si="20"/>
        <v>66</v>
      </c>
      <c r="G1375" s="15">
        <f t="shared" si="21"/>
        <v>99</v>
      </c>
    </row>
    <row r="1376" spans="1:7" ht="12.75">
      <c r="A1376" s="93">
        <f t="shared" si="17"/>
        <v>2622</v>
      </c>
      <c r="B1376" s="17">
        <f t="shared" si="18"/>
        <v>3.356</v>
      </c>
      <c r="C1376" s="4">
        <f t="shared" si="24"/>
        <v>0</v>
      </c>
      <c r="D1376" s="114">
        <f t="shared" si="24"/>
        <v>55</v>
      </c>
      <c r="E1376" s="15">
        <f t="shared" si="19"/>
        <v>50</v>
      </c>
      <c r="F1376" s="4">
        <f t="shared" si="20"/>
        <v>66</v>
      </c>
      <c r="G1376" s="15">
        <f t="shared" si="21"/>
        <v>99</v>
      </c>
    </row>
    <row r="1377" spans="1:7" ht="12.75">
      <c r="A1377" s="93">
        <f t="shared" si="17"/>
        <v>486</v>
      </c>
      <c r="B1377" s="17">
        <f t="shared" si="18"/>
        <v>3.836</v>
      </c>
      <c r="C1377" s="4">
        <f t="shared" si="24"/>
        <v>0</v>
      </c>
      <c r="D1377" s="114">
        <f t="shared" si="24"/>
        <v>55</v>
      </c>
      <c r="E1377" s="15">
        <f t="shared" si="19"/>
        <v>75</v>
      </c>
      <c r="F1377" s="4">
        <f t="shared" si="20"/>
        <v>66</v>
      </c>
      <c r="G1377" s="15">
        <f t="shared" si="21"/>
        <v>66</v>
      </c>
    </row>
    <row r="1378" spans="1:7" ht="12.75">
      <c r="A1378" s="93">
        <f t="shared" si="17"/>
        <v>4554</v>
      </c>
      <c r="B1378" s="17">
        <f t="shared" si="18"/>
        <v>2.886</v>
      </c>
      <c r="C1378" s="4">
        <f t="shared" si="24"/>
        <v>1</v>
      </c>
      <c r="D1378" s="114">
        <f t="shared" si="24"/>
        <v>55</v>
      </c>
      <c r="E1378" s="15">
        <f t="shared" si="19"/>
        <v>25</v>
      </c>
      <c r="F1378" s="4">
        <f t="shared" si="20"/>
        <v>66</v>
      </c>
      <c r="G1378" s="15">
        <f t="shared" si="21"/>
        <v>66</v>
      </c>
    </row>
    <row r="1379" spans="1:7" ht="12.75">
      <c r="A1379" s="93">
        <f t="shared" si="17"/>
        <v>1420</v>
      </c>
      <c r="B1379" s="17">
        <f t="shared" si="18"/>
        <v>2.905</v>
      </c>
      <c r="C1379" s="4">
        <f t="shared" si="24"/>
        <v>0</v>
      </c>
      <c r="D1379" s="114">
        <f t="shared" si="24"/>
        <v>55</v>
      </c>
      <c r="E1379" s="15">
        <f t="shared" si="19"/>
        <v>25</v>
      </c>
      <c r="F1379" s="4">
        <f t="shared" si="20"/>
        <v>66</v>
      </c>
      <c r="G1379" s="15">
        <f t="shared" si="21"/>
        <v>33</v>
      </c>
    </row>
    <row r="1380" spans="1:7" ht="12.75">
      <c r="A1380" s="93">
        <f t="shared" si="17"/>
        <v>4025</v>
      </c>
      <c r="B1380" s="17">
        <f t="shared" si="18"/>
        <v>3.192</v>
      </c>
      <c r="C1380" s="4">
        <f t="shared" si="24"/>
        <v>0</v>
      </c>
      <c r="D1380" s="114">
        <f t="shared" si="24"/>
        <v>53</v>
      </c>
      <c r="E1380" s="15">
        <f t="shared" si="19"/>
        <v>50</v>
      </c>
      <c r="F1380" s="4">
        <f t="shared" si="20"/>
        <v>66</v>
      </c>
      <c r="G1380" s="15">
        <f t="shared" si="21"/>
        <v>99</v>
      </c>
    </row>
    <row r="1381" spans="1:7" ht="12.75">
      <c r="A1381" s="93">
        <f t="shared" si="17"/>
        <v>4269</v>
      </c>
      <c r="B1381" s="17">
        <f t="shared" si="18"/>
        <v>3.23</v>
      </c>
      <c r="C1381" s="4">
        <f t="shared" si="24"/>
        <v>1</v>
      </c>
      <c r="D1381" s="114">
        <f t="shared" si="24"/>
        <v>52</v>
      </c>
      <c r="E1381" s="15">
        <f t="shared" si="19"/>
        <v>50</v>
      </c>
      <c r="F1381" s="4">
        <f t="shared" si="20"/>
        <v>66</v>
      </c>
      <c r="G1381" s="15">
        <f t="shared" si="21"/>
        <v>33</v>
      </c>
    </row>
    <row r="1382" spans="1:7" ht="12.75">
      <c r="A1382" s="93">
        <f aca="true" t="shared" si="25" ref="A1382:A1445">B195</f>
        <v>1941</v>
      </c>
      <c r="B1382" s="17">
        <f aca="true" t="shared" si="26" ref="B1382:B1445">E195</f>
        <v>3.043</v>
      </c>
      <c r="C1382" s="4">
        <f t="shared" si="24"/>
        <v>1</v>
      </c>
      <c r="D1382" s="114">
        <f t="shared" si="24"/>
        <v>53</v>
      </c>
      <c r="E1382" s="15">
        <f aca="true" t="shared" si="27" ref="E1382:E1445">IF(F195=1,25,IF(G195=1,50,IF(H195=1,75,100)))</f>
        <v>25</v>
      </c>
      <c r="F1382" s="4">
        <f aca="true" t="shared" si="28" ref="F1382:F1445">IF(J195=1,33,IF(K195=1,66,99))</f>
        <v>66</v>
      </c>
      <c r="G1382" s="15">
        <f aca="true" t="shared" si="29" ref="G1382:G1445">IF(M195=1,33,IF(N195=1,66,99))</f>
        <v>66</v>
      </c>
    </row>
    <row r="1383" spans="1:7" ht="12.75">
      <c r="A1383" s="93">
        <f t="shared" si="25"/>
        <v>2134</v>
      </c>
      <c r="B1383" s="17">
        <f t="shared" si="26"/>
        <v>3.903</v>
      </c>
      <c r="C1383" s="4">
        <f t="shared" si="24"/>
        <v>1</v>
      </c>
      <c r="D1383" s="114">
        <f t="shared" si="24"/>
        <v>52</v>
      </c>
      <c r="E1383" s="15">
        <f t="shared" si="27"/>
        <v>100</v>
      </c>
      <c r="F1383" s="4">
        <f t="shared" si="28"/>
        <v>66</v>
      </c>
      <c r="G1383" s="15">
        <f t="shared" si="29"/>
        <v>99</v>
      </c>
    </row>
    <row r="1384" spans="1:7" ht="12.75">
      <c r="A1384" s="93">
        <f t="shared" si="25"/>
        <v>201</v>
      </c>
      <c r="B1384" s="17">
        <f t="shared" si="26"/>
        <v>3.764</v>
      </c>
      <c r="C1384" s="4">
        <f t="shared" si="24"/>
        <v>0</v>
      </c>
      <c r="D1384" s="114">
        <f t="shared" si="24"/>
        <v>52</v>
      </c>
      <c r="E1384" s="15">
        <f t="shared" si="27"/>
        <v>50</v>
      </c>
      <c r="F1384" s="4">
        <f t="shared" si="28"/>
        <v>66</v>
      </c>
      <c r="G1384" s="15">
        <f t="shared" si="29"/>
        <v>99</v>
      </c>
    </row>
    <row r="1385" spans="1:7" ht="12.75">
      <c r="A1385" s="93">
        <f t="shared" si="25"/>
        <v>1991</v>
      </c>
      <c r="B1385" s="17">
        <f t="shared" si="26"/>
        <v>3.309</v>
      </c>
      <c r="C1385" s="4">
        <f t="shared" si="24"/>
        <v>0</v>
      </c>
      <c r="D1385" s="114">
        <f t="shared" si="24"/>
        <v>53</v>
      </c>
      <c r="E1385" s="15">
        <f t="shared" si="27"/>
        <v>50</v>
      </c>
      <c r="F1385" s="4">
        <f t="shared" si="28"/>
        <v>66</v>
      </c>
      <c r="G1385" s="15">
        <f t="shared" si="29"/>
        <v>66</v>
      </c>
    </row>
    <row r="1386" spans="1:7" ht="12.75">
      <c r="A1386" s="93">
        <f t="shared" si="25"/>
        <v>4354</v>
      </c>
      <c r="B1386" s="17">
        <f t="shared" si="26"/>
        <v>2.901</v>
      </c>
      <c r="C1386" s="4">
        <f t="shared" si="24"/>
        <v>1</v>
      </c>
      <c r="D1386" s="114">
        <f t="shared" si="24"/>
        <v>55</v>
      </c>
      <c r="E1386" s="15">
        <f t="shared" si="27"/>
        <v>25</v>
      </c>
      <c r="F1386" s="4">
        <f t="shared" si="28"/>
        <v>66</v>
      </c>
      <c r="G1386" s="15">
        <f t="shared" si="29"/>
        <v>66</v>
      </c>
    </row>
    <row r="1387" spans="1:7" ht="12.75">
      <c r="A1387" s="93">
        <f t="shared" si="25"/>
        <v>3215</v>
      </c>
      <c r="B1387" s="17">
        <f t="shared" si="26"/>
        <v>3.152</v>
      </c>
      <c r="C1387" s="4">
        <f t="shared" si="24"/>
        <v>0</v>
      </c>
      <c r="D1387" s="114">
        <f t="shared" si="24"/>
        <v>53</v>
      </c>
      <c r="E1387" s="15">
        <f t="shared" si="27"/>
        <v>50</v>
      </c>
      <c r="F1387" s="4">
        <f t="shared" si="28"/>
        <v>66</v>
      </c>
      <c r="G1387" s="15">
        <f t="shared" si="29"/>
        <v>33</v>
      </c>
    </row>
    <row r="1388" spans="1:7" ht="12.75">
      <c r="A1388" s="93">
        <f t="shared" si="25"/>
        <v>1592</v>
      </c>
      <c r="B1388" s="17">
        <f t="shared" si="26"/>
        <v>4.386</v>
      </c>
      <c r="C1388" s="4">
        <f t="shared" si="24"/>
        <v>1</v>
      </c>
      <c r="D1388" s="114">
        <f t="shared" si="24"/>
        <v>56</v>
      </c>
      <c r="E1388" s="15">
        <f t="shared" si="27"/>
        <v>100</v>
      </c>
      <c r="F1388" s="4">
        <f t="shared" si="28"/>
        <v>99</v>
      </c>
      <c r="G1388" s="15">
        <f t="shared" si="29"/>
        <v>99</v>
      </c>
    </row>
    <row r="1389" spans="1:7" ht="12.75">
      <c r="A1389" s="93">
        <f t="shared" si="25"/>
        <v>877</v>
      </c>
      <c r="B1389" s="17">
        <f t="shared" si="26"/>
        <v>3.959</v>
      </c>
      <c r="C1389" s="4">
        <f t="shared" si="24"/>
        <v>0</v>
      </c>
      <c r="D1389" s="114">
        <f t="shared" si="24"/>
        <v>52</v>
      </c>
      <c r="E1389" s="15">
        <f t="shared" si="27"/>
        <v>100</v>
      </c>
      <c r="F1389" s="4">
        <f t="shared" si="28"/>
        <v>33</v>
      </c>
      <c r="G1389" s="15">
        <f t="shared" si="29"/>
        <v>33</v>
      </c>
    </row>
    <row r="1390" spans="1:7" ht="12.75">
      <c r="A1390" s="93">
        <f t="shared" si="25"/>
        <v>1807</v>
      </c>
      <c r="B1390" s="17">
        <f t="shared" si="26"/>
        <v>3.656</v>
      </c>
      <c r="C1390" s="4">
        <f aca="true" t="shared" si="30" ref="C1390:D1409">C203</f>
        <v>1</v>
      </c>
      <c r="D1390" s="114">
        <f t="shared" si="30"/>
        <v>56</v>
      </c>
      <c r="E1390" s="15">
        <f t="shared" si="27"/>
        <v>75</v>
      </c>
      <c r="F1390" s="4">
        <f t="shared" si="28"/>
        <v>66</v>
      </c>
      <c r="G1390" s="15">
        <f t="shared" si="29"/>
        <v>66</v>
      </c>
    </row>
    <row r="1391" spans="1:7" ht="12.75">
      <c r="A1391" s="93">
        <f t="shared" si="25"/>
        <v>4020</v>
      </c>
      <c r="B1391" s="17">
        <f t="shared" si="26"/>
        <v>3.479</v>
      </c>
      <c r="C1391" s="4">
        <f t="shared" si="30"/>
        <v>1</v>
      </c>
      <c r="D1391" s="114">
        <f t="shared" si="30"/>
        <v>52</v>
      </c>
      <c r="E1391" s="15">
        <f t="shared" si="27"/>
        <v>75</v>
      </c>
      <c r="F1391" s="4">
        <f t="shared" si="28"/>
        <v>66</v>
      </c>
      <c r="G1391" s="15">
        <f t="shared" si="29"/>
        <v>66</v>
      </c>
    </row>
    <row r="1392" spans="1:7" ht="12.75">
      <c r="A1392" s="93">
        <f t="shared" si="25"/>
        <v>3388</v>
      </c>
      <c r="B1392" s="17">
        <f t="shared" si="26"/>
        <v>2.975</v>
      </c>
      <c r="C1392" s="4">
        <f t="shared" si="30"/>
        <v>1</v>
      </c>
      <c r="D1392" s="114">
        <f t="shared" si="30"/>
        <v>53</v>
      </c>
      <c r="E1392" s="15">
        <f t="shared" si="27"/>
        <v>25</v>
      </c>
      <c r="F1392" s="4">
        <f t="shared" si="28"/>
        <v>66</v>
      </c>
      <c r="G1392" s="15">
        <f t="shared" si="29"/>
        <v>33</v>
      </c>
    </row>
    <row r="1393" spans="1:7" ht="12.75">
      <c r="A1393" s="93">
        <f t="shared" si="25"/>
        <v>4129</v>
      </c>
      <c r="B1393" s="17">
        <f t="shared" si="26"/>
        <v>3.067</v>
      </c>
      <c r="C1393" s="4">
        <f t="shared" si="30"/>
        <v>1</v>
      </c>
      <c r="D1393" s="114">
        <f t="shared" si="30"/>
        <v>51</v>
      </c>
      <c r="E1393" s="15">
        <f t="shared" si="27"/>
        <v>25</v>
      </c>
      <c r="F1393" s="4">
        <f t="shared" si="28"/>
        <v>66</v>
      </c>
      <c r="G1393" s="15">
        <f t="shared" si="29"/>
        <v>99</v>
      </c>
    </row>
    <row r="1394" spans="1:7" ht="12.75">
      <c r="A1394" s="93">
        <f t="shared" si="25"/>
        <v>2045</v>
      </c>
      <c r="B1394" s="17">
        <f t="shared" si="26"/>
        <v>3.977</v>
      </c>
      <c r="C1394" s="4">
        <f t="shared" si="30"/>
        <v>0</v>
      </c>
      <c r="D1394" s="114">
        <f t="shared" si="30"/>
        <v>51</v>
      </c>
      <c r="E1394" s="15">
        <f t="shared" si="27"/>
        <v>100</v>
      </c>
      <c r="F1394" s="4">
        <f t="shared" si="28"/>
        <v>66</v>
      </c>
      <c r="G1394" s="15">
        <f t="shared" si="29"/>
        <v>66</v>
      </c>
    </row>
    <row r="1395" spans="1:7" ht="12.75">
      <c r="A1395" s="93">
        <f t="shared" si="25"/>
        <v>2918</v>
      </c>
      <c r="B1395" s="17">
        <f t="shared" si="26"/>
        <v>3.338</v>
      </c>
      <c r="C1395" s="4">
        <f t="shared" si="30"/>
        <v>1</v>
      </c>
      <c r="D1395" s="114">
        <f t="shared" si="30"/>
        <v>52</v>
      </c>
      <c r="E1395" s="15">
        <f t="shared" si="27"/>
        <v>50</v>
      </c>
      <c r="F1395" s="4">
        <f t="shared" si="28"/>
        <v>66</v>
      </c>
      <c r="G1395" s="15">
        <f t="shared" si="29"/>
        <v>66</v>
      </c>
    </row>
    <row r="1396" spans="1:7" ht="12.75">
      <c r="A1396" s="93">
        <f t="shared" si="25"/>
        <v>1564</v>
      </c>
      <c r="B1396" s="17">
        <f t="shared" si="26"/>
        <v>3.973</v>
      </c>
      <c r="C1396" s="4">
        <f t="shared" si="30"/>
        <v>0</v>
      </c>
      <c r="D1396" s="114">
        <f t="shared" si="30"/>
        <v>54</v>
      </c>
      <c r="E1396" s="15">
        <f t="shared" si="27"/>
        <v>100</v>
      </c>
      <c r="F1396" s="4">
        <f t="shared" si="28"/>
        <v>66</v>
      </c>
      <c r="G1396" s="15">
        <f t="shared" si="29"/>
        <v>66</v>
      </c>
    </row>
    <row r="1397" spans="1:7" ht="12.75">
      <c r="A1397" s="93">
        <f t="shared" si="25"/>
        <v>2567</v>
      </c>
      <c r="B1397" s="17">
        <f t="shared" si="26"/>
        <v>3.539</v>
      </c>
      <c r="C1397" s="4">
        <f t="shared" si="30"/>
        <v>0</v>
      </c>
      <c r="D1397" s="114">
        <f t="shared" si="30"/>
        <v>51</v>
      </c>
      <c r="E1397" s="15">
        <f t="shared" si="27"/>
        <v>75</v>
      </c>
      <c r="F1397" s="4">
        <f t="shared" si="28"/>
        <v>66</v>
      </c>
      <c r="G1397" s="15">
        <f t="shared" si="29"/>
        <v>66</v>
      </c>
    </row>
    <row r="1398" spans="1:7" ht="12.75">
      <c r="A1398" s="93">
        <f t="shared" si="25"/>
        <v>3256</v>
      </c>
      <c r="B1398" s="17">
        <f t="shared" si="26"/>
        <v>3.581</v>
      </c>
      <c r="C1398" s="4">
        <f t="shared" si="30"/>
        <v>1</v>
      </c>
      <c r="D1398" s="114">
        <f t="shared" si="30"/>
        <v>55</v>
      </c>
      <c r="E1398" s="15">
        <f t="shared" si="27"/>
        <v>75</v>
      </c>
      <c r="F1398" s="4">
        <f t="shared" si="28"/>
        <v>66</v>
      </c>
      <c r="G1398" s="15">
        <f t="shared" si="29"/>
        <v>66</v>
      </c>
    </row>
    <row r="1399" spans="1:7" ht="12.75">
      <c r="A1399" s="93">
        <f t="shared" si="25"/>
        <v>4568</v>
      </c>
      <c r="B1399" s="17">
        <f t="shared" si="26"/>
        <v>3.862</v>
      </c>
      <c r="C1399" s="4">
        <f t="shared" si="30"/>
        <v>0</v>
      </c>
      <c r="D1399" s="114">
        <f t="shared" si="30"/>
        <v>52</v>
      </c>
      <c r="E1399" s="15">
        <f t="shared" si="27"/>
        <v>75</v>
      </c>
      <c r="F1399" s="4">
        <f t="shared" si="28"/>
        <v>33</v>
      </c>
      <c r="G1399" s="15">
        <f t="shared" si="29"/>
        <v>33</v>
      </c>
    </row>
    <row r="1400" spans="1:7" ht="12.75">
      <c r="A1400" s="93">
        <f t="shared" si="25"/>
        <v>3163</v>
      </c>
      <c r="B1400" s="17">
        <f t="shared" si="26"/>
        <v>3.679</v>
      </c>
      <c r="C1400" s="4">
        <f t="shared" si="30"/>
        <v>1</v>
      </c>
      <c r="D1400" s="114">
        <f t="shared" si="30"/>
        <v>50</v>
      </c>
      <c r="E1400" s="15">
        <f t="shared" si="27"/>
        <v>75</v>
      </c>
      <c r="F1400" s="4">
        <f t="shared" si="28"/>
        <v>33</v>
      </c>
      <c r="G1400" s="15">
        <f t="shared" si="29"/>
        <v>33</v>
      </c>
    </row>
    <row r="1401" spans="1:7" ht="12.75">
      <c r="A1401" s="93">
        <f t="shared" si="25"/>
        <v>810</v>
      </c>
      <c r="B1401" s="17">
        <f t="shared" si="26"/>
        <v>3.329</v>
      </c>
      <c r="C1401" s="4">
        <f t="shared" si="30"/>
        <v>1</v>
      </c>
      <c r="D1401" s="114">
        <f t="shared" si="30"/>
        <v>54</v>
      </c>
      <c r="E1401" s="15">
        <f t="shared" si="27"/>
        <v>50</v>
      </c>
      <c r="F1401" s="4">
        <f t="shared" si="28"/>
        <v>66</v>
      </c>
      <c r="G1401" s="15">
        <f t="shared" si="29"/>
        <v>66</v>
      </c>
    </row>
    <row r="1402" spans="1:7" ht="12.75">
      <c r="A1402" s="93">
        <f t="shared" si="25"/>
        <v>450</v>
      </c>
      <c r="B1402" s="17">
        <f t="shared" si="26"/>
        <v>3.399</v>
      </c>
      <c r="C1402" s="4">
        <f t="shared" si="30"/>
        <v>1</v>
      </c>
      <c r="D1402" s="114">
        <f t="shared" si="30"/>
        <v>52</v>
      </c>
      <c r="E1402" s="15">
        <f t="shared" si="27"/>
        <v>50</v>
      </c>
      <c r="F1402" s="4">
        <f t="shared" si="28"/>
        <v>66</v>
      </c>
      <c r="G1402" s="15">
        <f t="shared" si="29"/>
        <v>66</v>
      </c>
    </row>
    <row r="1403" spans="1:7" ht="12.75">
      <c r="A1403" s="93">
        <f t="shared" si="25"/>
        <v>3364</v>
      </c>
      <c r="B1403" s="17">
        <f t="shared" si="26"/>
        <v>3.414</v>
      </c>
      <c r="C1403" s="4">
        <f t="shared" si="30"/>
        <v>1</v>
      </c>
      <c r="D1403" s="114">
        <f t="shared" si="30"/>
        <v>53</v>
      </c>
      <c r="E1403" s="15">
        <f t="shared" si="27"/>
        <v>50</v>
      </c>
      <c r="F1403" s="4">
        <f t="shared" si="28"/>
        <v>99</v>
      </c>
      <c r="G1403" s="15">
        <f t="shared" si="29"/>
        <v>66</v>
      </c>
    </row>
    <row r="1404" spans="1:7" ht="12.75">
      <c r="A1404" s="93">
        <f t="shared" si="25"/>
        <v>3740</v>
      </c>
      <c r="B1404" s="17">
        <f t="shared" si="26"/>
        <v>3.47</v>
      </c>
      <c r="C1404" s="4">
        <f t="shared" si="30"/>
        <v>0</v>
      </c>
      <c r="D1404" s="114">
        <f t="shared" si="30"/>
        <v>54</v>
      </c>
      <c r="E1404" s="15">
        <f t="shared" si="27"/>
        <v>75</v>
      </c>
      <c r="F1404" s="4">
        <f t="shared" si="28"/>
        <v>66</v>
      </c>
      <c r="G1404" s="15">
        <f t="shared" si="29"/>
        <v>66</v>
      </c>
    </row>
    <row r="1405" spans="1:7" ht="12.75">
      <c r="A1405" s="93">
        <f t="shared" si="25"/>
        <v>3794</v>
      </c>
      <c r="B1405" s="17">
        <f t="shared" si="26"/>
        <v>3.349</v>
      </c>
      <c r="C1405" s="4">
        <f t="shared" si="30"/>
        <v>1</v>
      </c>
      <c r="D1405" s="114">
        <f t="shared" si="30"/>
        <v>56</v>
      </c>
      <c r="E1405" s="15">
        <f t="shared" si="27"/>
        <v>50</v>
      </c>
      <c r="F1405" s="4">
        <f t="shared" si="28"/>
        <v>33</v>
      </c>
      <c r="G1405" s="15">
        <f t="shared" si="29"/>
        <v>33</v>
      </c>
    </row>
    <row r="1406" spans="1:7" ht="12.75">
      <c r="A1406" s="93">
        <f t="shared" si="25"/>
        <v>1493</v>
      </c>
      <c r="B1406" s="17">
        <f t="shared" si="26"/>
        <v>3.37</v>
      </c>
      <c r="C1406" s="4">
        <f t="shared" si="30"/>
        <v>1</v>
      </c>
      <c r="D1406" s="114">
        <f t="shared" si="30"/>
        <v>55</v>
      </c>
      <c r="E1406" s="15">
        <f t="shared" si="27"/>
        <v>75</v>
      </c>
      <c r="F1406" s="4">
        <f t="shared" si="28"/>
        <v>99</v>
      </c>
      <c r="G1406" s="15">
        <f t="shared" si="29"/>
        <v>99</v>
      </c>
    </row>
    <row r="1407" spans="1:7" ht="12.75">
      <c r="A1407" s="93">
        <f t="shared" si="25"/>
        <v>1</v>
      </c>
      <c r="B1407" s="17">
        <f t="shared" si="26"/>
        <v>2.622</v>
      </c>
      <c r="C1407" s="4">
        <f t="shared" si="30"/>
        <v>1</v>
      </c>
      <c r="D1407" s="114">
        <f t="shared" si="30"/>
        <v>53</v>
      </c>
      <c r="E1407" s="15">
        <f t="shared" si="27"/>
        <v>50</v>
      </c>
      <c r="F1407" s="4">
        <f t="shared" si="28"/>
        <v>99</v>
      </c>
      <c r="G1407" s="15">
        <f t="shared" si="29"/>
        <v>66</v>
      </c>
    </row>
    <row r="1408" spans="1:7" ht="12.75">
      <c r="A1408" s="93">
        <f t="shared" si="25"/>
        <v>3337</v>
      </c>
      <c r="B1408" s="17">
        <f t="shared" si="26"/>
        <v>4.062</v>
      </c>
      <c r="C1408" s="4">
        <f t="shared" si="30"/>
        <v>1</v>
      </c>
      <c r="D1408" s="114">
        <f t="shared" si="30"/>
        <v>51</v>
      </c>
      <c r="E1408" s="15">
        <f t="shared" si="27"/>
        <v>100</v>
      </c>
      <c r="F1408" s="4">
        <f t="shared" si="28"/>
        <v>33</v>
      </c>
      <c r="G1408" s="15">
        <f t="shared" si="29"/>
        <v>33</v>
      </c>
    </row>
    <row r="1409" spans="1:7" ht="12.75">
      <c r="A1409" s="93">
        <f t="shared" si="25"/>
        <v>1291</v>
      </c>
      <c r="B1409" s="17">
        <f t="shared" si="26"/>
        <v>3.221</v>
      </c>
      <c r="C1409" s="4">
        <f t="shared" si="30"/>
        <v>1</v>
      </c>
      <c r="D1409" s="114">
        <f t="shared" si="30"/>
        <v>54</v>
      </c>
      <c r="E1409" s="15">
        <f t="shared" si="27"/>
        <v>50</v>
      </c>
      <c r="F1409" s="4">
        <f t="shared" si="28"/>
        <v>66</v>
      </c>
      <c r="G1409" s="15">
        <f t="shared" si="29"/>
        <v>99</v>
      </c>
    </row>
    <row r="1410" spans="1:7" ht="12.75">
      <c r="A1410" s="93">
        <f t="shared" si="25"/>
        <v>3995</v>
      </c>
      <c r="B1410" s="17">
        <f t="shared" si="26"/>
        <v>3.008</v>
      </c>
      <c r="C1410" s="4">
        <f aca="true" t="shared" si="31" ref="C1410:D1429">C223</f>
        <v>0</v>
      </c>
      <c r="D1410" s="114">
        <f t="shared" si="31"/>
        <v>53</v>
      </c>
      <c r="E1410" s="15">
        <f t="shared" si="27"/>
        <v>25</v>
      </c>
      <c r="F1410" s="4">
        <f t="shared" si="28"/>
        <v>66</v>
      </c>
      <c r="G1410" s="15">
        <f t="shared" si="29"/>
        <v>99</v>
      </c>
    </row>
    <row r="1411" spans="1:7" ht="12.75">
      <c r="A1411" s="93">
        <f t="shared" si="25"/>
        <v>1788</v>
      </c>
      <c r="B1411" s="17">
        <f t="shared" si="26"/>
        <v>3.554</v>
      </c>
      <c r="C1411" s="4">
        <f t="shared" si="31"/>
        <v>0</v>
      </c>
      <c r="D1411" s="114">
        <f t="shared" si="31"/>
        <v>51</v>
      </c>
      <c r="E1411" s="15">
        <f t="shared" si="27"/>
        <v>75</v>
      </c>
      <c r="F1411" s="4">
        <f t="shared" si="28"/>
        <v>66</v>
      </c>
      <c r="G1411" s="15">
        <f t="shared" si="29"/>
        <v>33</v>
      </c>
    </row>
    <row r="1412" spans="1:7" ht="12.75">
      <c r="A1412" s="93">
        <f t="shared" si="25"/>
        <v>4153</v>
      </c>
      <c r="B1412" s="17">
        <f t="shared" si="26"/>
        <v>3.736</v>
      </c>
      <c r="C1412" s="4">
        <f t="shared" si="31"/>
        <v>1</v>
      </c>
      <c r="D1412" s="114">
        <f t="shared" si="31"/>
        <v>50</v>
      </c>
      <c r="E1412" s="15">
        <f t="shared" si="27"/>
        <v>75</v>
      </c>
      <c r="F1412" s="4">
        <f t="shared" si="28"/>
        <v>66</v>
      </c>
      <c r="G1412" s="15">
        <f t="shared" si="29"/>
        <v>33</v>
      </c>
    </row>
    <row r="1413" spans="1:7" ht="12.75">
      <c r="A1413" s="93">
        <f t="shared" si="25"/>
        <v>1721</v>
      </c>
      <c r="B1413" s="17">
        <f t="shared" si="26"/>
        <v>4.734</v>
      </c>
      <c r="C1413" s="4">
        <f t="shared" si="31"/>
        <v>1</v>
      </c>
      <c r="D1413" s="114">
        <f t="shared" si="31"/>
        <v>54</v>
      </c>
      <c r="E1413" s="15">
        <f t="shared" si="27"/>
        <v>100</v>
      </c>
      <c r="F1413" s="4">
        <f t="shared" si="28"/>
        <v>99</v>
      </c>
      <c r="G1413" s="15">
        <f t="shared" si="29"/>
        <v>66</v>
      </c>
    </row>
    <row r="1414" spans="1:7" ht="12.75">
      <c r="A1414" s="93">
        <f t="shared" si="25"/>
        <v>493</v>
      </c>
      <c r="B1414" s="17">
        <f t="shared" si="26"/>
        <v>3.431</v>
      </c>
      <c r="C1414" s="4">
        <f t="shared" si="31"/>
        <v>0</v>
      </c>
      <c r="D1414" s="114">
        <f t="shared" si="31"/>
        <v>54</v>
      </c>
      <c r="E1414" s="15">
        <f t="shared" si="27"/>
        <v>75</v>
      </c>
      <c r="F1414" s="4">
        <f t="shared" si="28"/>
        <v>33</v>
      </c>
      <c r="G1414" s="15">
        <f t="shared" si="29"/>
        <v>33</v>
      </c>
    </row>
    <row r="1415" spans="1:7" ht="12.75">
      <c r="A1415" s="93">
        <f t="shared" si="25"/>
        <v>2880</v>
      </c>
      <c r="B1415" s="17">
        <f t="shared" si="26"/>
        <v>3.756</v>
      </c>
      <c r="C1415" s="4">
        <f t="shared" si="31"/>
        <v>1</v>
      </c>
      <c r="D1415" s="114">
        <f t="shared" si="31"/>
        <v>53</v>
      </c>
      <c r="E1415" s="15">
        <f t="shared" si="27"/>
        <v>75</v>
      </c>
      <c r="F1415" s="4">
        <f t="shared" si="28"/>
        <v>99</v>
      </c>
      <c r="G1415" s="15">
        <f t="shared" si="29"/>
        <v>66</v>
      </c>
    </row>
    <row r="1416" spans="1:7" ht="12.75">
      <c r="A1416" s="93">
        <f t="shared" si="25"/>
        <v>152</v>
      </c>
      <c r="B1416" s="17">
        <f t="shared" si="26"/>
        <v>4.269</v>
      </c>
      <c r="C1416" s="4">
        <f t="shared" si="31"/>
        <v>0</v>
      </c>
      <c r="D1416" s="114">
        <f t="shared" si="31"/>
        <v>54</v>
      </c>
      <c r="E1416" s="15">
        <f t="shared" si="27"/>
        <v>100</v>
      </c>
      <c r="F1416" s="4">
        <f t="shared" si="28"/>
        <v>66</v>
      </c>
      <c r="G1416" s="15">
        <f t="shared" si="29"/>
        <v>33</v>
      </c>
    </row>
    <row r="1417" spans="1:7" ht="12.75">
      <c r="A1417" s="93">
        <f t="shared" si="25"/>
        <v>2820</v>
      </c>
      <c r="B1417" s="17">
        <f t="shared" si="26"/>
        <v>2.952</v>
      </c>
      <c r="C1417" s="4">
        <f t="shared" si="31"/>
        <v>1</v>
      </c>
      <c r="D1417" s="114">
        <f t="shared" si="31"/>
        <v>56</v>
      </c>
      <c r="E1417" s="15">
        <f t="shared" si="27"/>
        <v>25</v>
      </c>
      <c r="F1417" s="4">
        <f t="shared" si="28"/>
        <v>66</v>
      </c>
      <c r="G1417" s="15">
        <f t="shared" si="29"/>
        <v>33</v>
      </c>
    </row>
    <row r="1418" spans="1:7" ht="12.75">
      <c r="A1418" s="93">
        <f t="shared" si="25"/>
        <v>4534</v>
      </c>
      <c r="B1418" s="17">
        <f t="shared" si="26"/>
        <v>4.809</v>
      </c>
      <c r="C1418" s="4">
        <f t="shared" si="31"/>
        <v>0</v>
      </c>
      <c r="D1418" s="114">
        <f t="shared" si="31"/>
        <v>52</v>
      </c>
      <c r="E1418" s="15">
        <f t="shared" si="27"/>
        <v>100</v>
      </c>
      <c r="F1418" s="4">
        <f t="shared" si="28"/>
        <v>99</v>
      </c>
      <c r="G1418" s="15">
        <f t="shared" si="29"/>
        <v>99</v>
      </c>
    </row>
    <row r="1419" spans="1:7" ht="12.75">
      <c r="A1419" s="93">
        <f t="shared" si="25"/>
        <v>2848</v>
      </c>
      <c r="B1419" s="17">
        <f t="shared" si="26"/>
        <v>3.335</v>
      </c>
      <c r="C1419" s="4">
        <f t="shared" si="31"/>
        <v>0</v>
      </c>
      <c r="D1419" s="114">
        <f t="shared" si="31"/>
        <v>51</v>
      </c>
      <c r="E1419" s="15">
        <f t="shared" si="27"/>
        <v>50</v>
      </c>
      <c r="F1419" s="4">
        <f t="shared" si="28"/>
        <v>66</v>
      </c>
      <c r="G1419" s="15">
        <f t="shared" si="29"/>
        <v>33</v>
      </c>
    </row>
    <row r="1420" spans="1:7" ht="12.75">
      <c r="A1420" s="93">
        <f t="shared" si="25"/>
        <v>529</v>
      </c>
      <c r="B1420" s="17">
        <f t="shared" si="26"/>
        <v>3.74</v>
      </c>
      <c r="C1420" s="4">
        <f t="shared" si="31"/>
        <v>1</v>
      </c>
      <c r="D1420" s="114">
        <f t="shared" si="31"/>
        <v>53</v>
      </c>
      <c r="E1420" s="15">
        <f t="shared" si="27"/>
        <v>75</v>
      </c>
      <c r="F1420" s="4">
        <f t="shared" si="28"/>
        <v>66</v>
      </c>
      <c r="G1420" s="15">
        <f t="shared" si="29"/>
        <v>66</v>
      </c>
    </row>
    <row r="1421" spans="1:7" ht="12.75">
      <c r="A1421" s="93">
        <f t="shared" si="25"/>
        <v>3345</v>
      </c>
      <c r="B1421" s="17">
        <f t="shared" si="26"/>
        <v>2.604</v>
      </c>
      <c r="C1421" s="4">
        <f t="shared" si="31"/>
        <v>1</v>
      </c>
      <c r="D1421" s="114">
        <f t="shared" si="31"/>
        <v>53</v>
      </c>
      <c r="E1421" s="15">
        <f t="shared" si="27"/>
        <v>25</v>
      </c>
      <c r="F1421" s="4">
        <f t="shared" si="28"/>
        <v>66</v>
      </c>
      <c r="G1421" s="15">
        <f t="shared" si="29"/>
        <v>33</v>
      </c>
    </row>
    <row r="1422" spans="1:7" ht="12.75">
      <c r="A1422" s="93">
        <f t="shared" si="25"/>
        <v>1468</v>
      </c>
      <c r="B1422" s="17">
        <f t="shared" si="26"/>
        <v>3.193</v>
      </c>
      <c r="C1422" s="4">
        <f t="shared" si="31"/>
        <v>0</v>
      </c>
      <c r="D1422" s="114">
        <f t="shared" si="31"/>
        <v>53</v>
      </c>
      <c r="E1422" s="15">
        <f t="shared" si="27"/>
        <v>50</v>
      </c>
      <c r="F1422" s="4">
        <f t="shared" si="28"/>
        <v>33</v>
      </c>
      <c r="G1422" s="15">
        <f t="shared" si="29"/>
        <v>33</v>
      </c>
    </row>
    <row r="1423" spans="1:7" ht="12.75">
      <c r="A1423" s="93">
        <f t="shared" si="25"/>
        <v>2187</v>
      </c>
      <c r="B1423" s="17">
        <f t="shared" si="26"/>
        <v>3.591</v>
      </c>
      <c r="C1423" s="4">
        <f t="shared" si="31"/>
        <v>1</v>
      </c>
      <c r="D1423" s="114">
        <f t="shared" si="31"/>
        <v>54</v>
      </c>
      <c r="E1423" s="15">
        <f t="shared" si="27"/>
        <v>75</v>
      </c>
      <c r="F1423" s="4">
        <f t="shared" si="28"/>
        <v>66</v>
      </c>
      <c r="G1423" s="15">
        <f t="shared" si="29"/>
        <v>66</v>
      </c>
    </row>
    <row r="1424" spans="1:7" ht="12.75">
      <c r="A1424" s="93">
        <f t="shared" si="25"/>
        <v>4145</v>
      </c>
      <c r="B1424" s="17">
        <f t="shared" si="26"/>
        <v>2.813</v>
      </c>
      <c r="C1424" s="4">
        <f t="shared" si="31"/>
        <v>0</v>
      </c>
      <c r="D1424" s="114">
        <f t="shared" si="31"/>
        <v>51</v>
      </c>
      <c r="E1424" s="15">
        <f t="shared" si="27"/>
        <v>25</v>
      </c>
      <c r="F1424" s="4">
        <f t="shared" si="28"/>
        <v>33</v>
      </c>
      <c r="G1424" s="15">
        <f t="shared" si="29"/>
        <v>33</v>
      </c>
    </row>
    <row r="1425" spans="1:7" ht="12.75">
      <c r="A1425" s="93">
        <f t="shared" si="25"/>
        <v>3323</v>
      </c>
      <c r="B1425" s="17">
        <f t="shared" si="26"/>
        <v>3.854</v>
      </c>
      <c r="C1425" s="4">
        <f t="shared" si="31"/>
        <v>1</v>
      </c>
      <c r="D1425" s="114">
        <f t="shared" si="31"/>
        <v>51</v>
      </c>
      <c r="E1425" s="15">
        <f t="shared" si="27"/>
        <v>75</v>
      </c>
      <c r="F1425" s="4">
        <f t="shared" si="28"/>
        <v>99</v>
      </c>
      <c r="G1425" s="15">
        <f t="shared" si="29"/>
        <v>66</v>
      </c>
    </row>
    <row r="1426" spans="1:7" ht="12.75">
      <c r="A1426" s="93">
        <f t="shared" si="25"/>
        <v>3494</v>
      </c>
      <c r="B1426" s="17">
        <f t="shared" si="26"/>
        <v>2.521</v>
      </c>
      <c r="C1426" s="4">
        <f t="shared" si="31"/>
        <v>1</v>
      </c>
      <c r="D1426" s="114">
        <f t="shared" si="31"/>
        <v>51</v>
      </c>
      <c r="E1426" s="15">
        <f t="shared" si="27"/>
        <v>25</v>
      </c>
      <c r="F1426" s="4">
        <f t="shared" si="28"/>
        <v>99</v>
      </c>
      <c r="G1426" s="15">
        <f t="shared" si="29"/>
        <v>66</v>
      </c>
    </row>
    <row r="1427" spans="1:7" ht="12.75">
      <c r="A1427" s="93">
        <f t="shared" si="25"/>
        <v>3114</v>
      </c>
      <c r="B1427" s="17">
        <f t="shared" si="26"/>
        <v>3.89</v>
      </c>
      <c r="C1427" s="4">
        <f t="shared" si="31"/>
        <v>1</v>
      </c>
      <c r="D1427" s="114">
        <f t="shared" si="31"/>
        <v>56</v>
      </c>
      <c r="E1427" s="15">
        <f t="shared" si="27"/>
        <v>100</v>
      </c>
      <c r="F1427" s="4">
        <f t="shared" si="28"/>
        <v>66</v>
      </c>
      <c r="G1427" s="15">
        <f t="shared" si="29"/>
        <v>33</v>
      </c>
    </row>
    <row r="1428" spans="1:7" ht="12.75">
      <c r="A1428" s="93">
        <f t="shared" si="25"/>
        <v>2992</v>
      </c>
      <c r="B1428" s="17">
        <f t="shared" si="26"/>
        <v>4.48</v>
      </c>
      <c r="C1428" s="4">
        <f t="shared" si="31"/>
        <v>1</v>
      </c>
      <c r="D1428" s="114">
        <f t="shared" si="31"/>
        <v>54</v>
      </c>
      <c r="E1428" s="15">
        <f t="shared" si="27"/>
        <v>100</v>
      </c>
      <c r="F1428" s="4">
        <f t="shared" si="28"/>
        <v>66</v>
      </c>
      <c r="G1428" s="15">
        <f t="shared" si="29"/>
        <v>66</v>
      </c>
    </row>
    <row r="1429" spans="1:7" ht="12.75">
      <c r="A1429" s="93">
        <f t="shared" si="25"/>
        <v>1141</v>
      </c>
      <c r="B1429" s="17">
        <f t="shared" si="26"/>
        <v>2.969</v>
      </c>
      <c r="C1429" s="4">
        <f t="shared" si="31"/>
        <v>1</v>
      </c>
      <c r="D1429" s="114">
        <f t="shared" si="31"/>
        <v>53</v>
      </c>
      <c r="E1429" s="15">
        <f t="shared" si="27"/>
        <v>25</v>
      </c>
      <c r="F1429" s="4">
        <f t="shared" si="28"/>
        <v>66</v>
      </c>
      <c r="G1429" s="15">
        <f t="shared" si="29"/>
        <v>99</v>
      </c>
    </row>
    <row r="1430" spans="1:7" ht="12.75">
      <c r="A1430" s="93">
        <f t="shared" si="25"/>
        <v>4196</v>
      </c>
      <c r="B1430" s="17">
        <f t="shared" si="26"/>
        <v>3.007</v>
      </c>
      <c r="C1430" s="4">
        <f aca="true" t="shared" si="32" ref="C1430:D1449">C243</f>
        <v>0</v>
      </c>
      <c r="D1430" s="114">
        <f t="shared" si="32"/>
        <v>54</v>
      </c>
      <c r="E1430" s="15">
        <f t="shared" si="27"/>
        <v>50</v>
      </c>
      <c r="F1430" s="4">
        <f t="shared" si="28"/>
        <v>66</v>
      </c>
      <c r="G1430" s="15">
        <f t="shared" si="29"/>
        <v>66</v>
      </c>
    </row>
    <row r="1431" spans="1:7" ht="12.75">
      <c r="A1431" s="93">
        <f t="shared" si="25"/>
        <v>3550</v>
      </c>
      <c r="B1431" s="17">
        <f t="shared" si="26"/>
        <v>4.446</v>
      </c>
      <c r="C1431" s="4">
        <f t="shared" si="32"/>
        <v>1</v>
      </c>
      <c r="D1431" s="114">
        <f t="shared" si="32"/>
        <v>51</v>
      </c>
      <c r="E1431" s="15">
        <f t="shared" si="27"/>
        <v>75</v>
      </c>
      <c r="F1431" s="4">
        <f t="shared" si="28"/>
        <v>66</v>
      </c>
      <c r="G1431" s="15">
        <f t="shared" si="29"/>
        <v>66</v>
      </c>
    </row>
    <row r="1432" spans="1:7" ht="12.75">
      <c r="A1432" s="93">
        <f t="shared" si="25"/>
        <v>3312</v>
      </c>
      <c r="B1432" s="17">
        <f t="shared" si="26"/>
        <v>3.724</v>
      </c>
      <c r="C1432" s="4">
        <f t="shared" si="32"/>
        <v>1</v>
      </c>
      <c r="D1432" s="114">
        <f t="shared" si="32"/>
        <v>50</v>
      </c>
      <c r="E1432" s="15">
        <f t="shared" si="27"/>
        <v>75</v>
      </c>
      <c r="F1432" s="4">
        <f t="shared" si="28"/>
        <v>66</v>
      </c>
      <c r="G1432" s="15">
        <f t="shared" si="29"/>
        <v>66</v>
      </c>
    </row>
    <row r="1433" spans="1:7" ht="12.75">
      <c r="A1433" s="93">
        <f t="shared" si="25"/>
        <v>1090</v>
      </c>
      <c r="B1433" s="17">
        <f t="shared" si="26"/>
        <v>4.143</v>
      </c>
      <c r="C1433" s="4">
        <f t="shared" si="32"/>
        <v>0</v>
      </c>
      <c r="D1433" s="114">
        <f t="shared" si="32"/>
        <v>52</v>
      </c>
      <c r="E1433" s="15">
        <f t="shared" si="27"/>
        <v>100</v>
      </c>
      <c r="F1433" s="4">
        <f t="shared" si="28"/>
        <v>33</v>
      </c>
      <c r="G1433" s="15">
        <f t="shared" si="29"/>
        <v>33</v>
      </c>
    </row>
    <row r="1434" spans="1:7" ht="12.75">
      <c r="A1434" s="93">
        <f t="shared" si="25"/>
        <v>3111</v>
      </c>
      <c r="B1434" s="17">
        <f t="shared" si="26"/>
        <v>3.344</v>
      </c>
      <c r="C1434" s="4">
        <f t="shared" si="32"/>
        <v>0</v>
      </c>
      <c r="D1434" s="114">
        <f t="shared" si="32"/>
        <v>51</v>
      </c>
      <c r="E1434" s="15">
        <f t="shared" si="27"/>
        <v>50</v>
      </c>
      <c r="F1434" s="4">
        <f t="shared" si="28"/>
        <v>66</v>
      </c>
      <c r="G1434" s="15">
        <f t="shared" si="29"/>
        <v>66</v>
      </c>
    </row>
    <row r="1435" spans="1:7" ht="12.75">
      <c r="A1435" s="93">
        <f t="shared" si="25"/>
        <v>1629</v>
      </c>
      <c r="B1435" s="17">
        <f t="shared" si="26"/>
        <v>3.654</v>
      </c>
      <c r="C1435" s="4">
        <f t="shared" si="32"/>
        <v>1</v>
      </c>
      <c r="D1435" s="114">
        <f t="shared" si="32"/>
        <v>55</v>
      </c>
      <c r="E1435" s="15">
        <f t="shared" si="27"/>
        <v>75</v>
      </c>
      <c r="F1435" s="4">
        <f t="shared" si="28"/>
        <v>33</v>
      </c>
      <c r="G1435" s="15">
        <f t="shared" si="29"/>
        <v>33</v>
      </c>
    </row>
    <row r="1436" spans="1:7" ht="12.75">
      <c r="A1436" s="93">
        <f t="shared" si="25"/>
        <v>939</v>
      </c>
      <c r="B1436" s="17">
        <f t="shared" si="26"/>
        <v>3.689</v>
      </c>
      <c r="C1436" s="4">
        <f t="shared" si="32"/>
        <v>1</v>
      </c>
      <c r="D1436" s="114">
        <f t="shared" si="32"/>
        <v>54</v>
      </c>
      <c r="E1436" s="15">
        <f t="shared" si="27"/>
        <v>75</v>
      </c>
      <c r="F1436" s="4">
        <f t="shared" si="28"/>
        <v>99</v>
      </c>
      <c r="G1436" s="15">
        <f t="shared" si="29"/>
        <v>66</v>
      </c>
    </row>
    <row r="1437" spans="1:7" ht="12.75">
      <c r="A1437" s="93">
        <f t="shared" si="25"/>
        <v>3868</v>
      </c>
      <c r="B1437" s="17">
        <f t="shared" si="26"/>
        <v>4.689</v>
      </c>
      <c r="C1437" s="4">
        <f t="shared" si="32"/>
        <v>1</v>
      </c>
      <c r="D1437" s="114">
        <f t="shared" si="32"/>
        <v>53</v>
      </c>
      <c r="E1437" s="15">
        <f t="shared" si="27"/>
        <v>100</v>
      </c>
      <c r="F1437" s="4">
        <f t="shared" si="28"/>
        <v>66</v>
      </c>
      <c r="G1437" s="15">
        <f t="shared" si="29"/>
        <v>33</v>
      </c>
    </row>
    <row r="1438" spans="1:7" ht="12.75">
      <c r="A1438" s="93">
        <f t="shared" si="25"/>
        <v>134</v>
      </c>
      <c r="B1438" s="17">
        <f t="shared" si="26"/>
        <v>3.872</v>
      </c>
      <c r="C1438" s="4">
        <f t="shared" si="32"/>
        <v>1</v>
      </c>
      <c r="D1438" s="114">
        <f t="shared" si="32"/>
        <v>52</v>
      </c>
      <c r="E1438" s="15">
        <f t="shared" si="27"/>
        <v>100</v>
      </c>
      <c r="F1438" s="4">
        <f t="shared" si="28"/>
        <v>66</v>
      </c>
      <c r="G1438" s="15">
        <f t="shared" si="29"/>
        <v>66</v>
      </c>
    </row>
    <row r="1439" spans="1:7" ht="12.75">
      <c r="A1439" s="93">
        <f t="shared" si="25"/>
        <v>2181</v>
      </c>
      <c r="B1439" s="17">
        <f t="shared" si="26"/>
        <v>3.134</v>
      </c>
      <c r="C1439" s="4">
        <f t="shared" si="32"/>
        <v>1</v>
      </c>
      <c r="D1439" s="114">
        <f t="shared" si="32"/>
        <v>54</v>
      </c>
      <c r="E1439" s="15">
        <f t="shared" si="27"/>
        <v>50</v>
      </c>
      <c r="F1439" s="4">
        <f t="shared" si="28"/>
        <v>66</v>
      </c>
      <c r="G1439" s="15">
        <f t="shared" si="29"/>
        <v>66</v>
      </c>
    </row>
    <row r="1440" spans="1:7" ht="12.75">
      <c r="A1440" s="93">
        <f t="shared" si="25"/>
        <v>731</v>
      </c>
      <c r="B1440" s="17">
        <f t="shared" si="26"/>
        <v>3.701</v>
      </c>
      <c r="C1440" s="4">
        <f t="shared" si="32"/>
        <v>0</v>
      </c>
      <c r="D1440" s="114">
        <f t="shared" si="32"/>
        <v>54</v>
      </c>
      <c r="E1440" s="15">
        <f t="shared" si="27"/>
        <v>75</v>
      </c>
      <c r="F1440" s="4">
        <f t="shared" si="28"/>
        <v>66</v>
      </c>
      <c r="G1440" s="15">
        <f t="shared" si="29"/>
        <v>66</v>
      </c>
    </row>
    <row r="1441" spans="1:7" ht="12.75">
      <c r="A1441" s="93">
        <f t="shared" si="25"/>
        <v>1824</v>
      </c>
      <c r="B1441" s="17">
        <f t="shared" si="26"/>
        <v>2.981</v>
      </c>
      <c r="C1441" s="4">
        <f t="shared" si="32"/>
        <v>1</v>
      </c>
      <c r="D1441" s="114">
        <f t="shared" si="32"/>
        <v>55</v>
      </c>
      <c r="E1441" s="15">
        <f t="shared" si="27"/>
        <v>25</v>
      </c>
      <c r="F1441" s="4">
        <f t="shared" si="28"/>
        <v>99</v>
      </c>
      <c r="G1441" s="15">
        <f t="shared" si="29"/>
        <v>99</v>
      </c>
    </row>
    <row r="1442" spans="1:7" ht="12.75">
      <c r="A1442" s="93">
        <f t="shared" si="25"/>
        <v>3963</v>
      </c>
      <c r="B1442" s="17">
        <f t="shared" si="26"/>
        <v>3.222</v>
      </c>
      <c r="C1442" s="4">
        <f t="shared" si="32"/>
        <v>0</v>
      </c>
      <c r="D1442" s="114">
        <f t="shared" si="32"/>
        <v>55</v>
      </c>
      <c r="E1442" s="15">
        <f t="shared" si="27"/>
        <v>50</v>
      </c>
      <c r="F1442" s="4">
        <f t="shared" si="28"/>
        <v>66</v>
      </c>
      <c r="G1442" s="15">
        <f t="shared" si="29"/>
        <v>66</v>
      </c>
    </row>
    <row r="1443" spans="1:7" ht="12.75">
      <c r="A1443" s="93">
        <f t="shared" si="25"/>
        <v>3775</v>
      </c>
      <c r="B1443" s="17">
        <f t="shared" si="26"/>
        <v>3.775</v>
      </c>
      <c r="C1443" s="4">
        <f t="shared" si="32"/>
        <v>0</v>
      </c>
      <c r="D1443" s="114">
        <f t="shared" si="32"/>
        <v>53</v>
      </c>
      <c r="E1443" s="15">
        <f t="shared" si="27"/>
        <v>100</v>
      </c>
      <c r="F1443" s="4">
        <f t="shared" si="28"/>
        <v>66</v>
      </c>
      <c r="G1443" s="15">
        <f t="shared" si="29"/>
        <v>99</v>
      </c>
    </row>
    <row r="1444" spans="1:7" ht="12.75">
      <c r="A1444" s="93">
        <f t="shared" si="25"/>
        <v>2362</v>
      </c>
      <c r="B1444" s="17">
        <f t="shared" si="26"/>
        <v>2.211</v>
      </c>
      <c r="C1444" s="4">
        <f t="shared" si="32"/>
        <v>1</v>
      </c>
      <c r="D1444" s="114">
        <f t="shared" si="32"/>
        <v>51</v>
      </c>
      <c r="E1444" s="15">
        <f t="shared" si="27"/>
        <v>25</v>
      </c>
      <c r="F1444" s="4">
        <f t="shared" si="28"/>
        <v>66</v>
      </c>
      <c r="G1444" s="15">
        <f t="shared" si="29"/>
        <v>99</v>
      </c>
    </row>
    <row r="1445" spans="1:7" ht="12.75">
      <c r="A1445" s="93">
        <f t="shared" si="25"/>
        <v>3462</v>
      </c>
      <c r="B1445" s="17">
        <f t="shared" si="26"/>
        <v>3.808</v>
      </c>
      <c r="C1445" s="4">
        <f t="shared" si="32"/>
        <v>1</v>
      </c>
      <c r="D1445" s="114">
        <f t="shared" si="32"/>
        <v>56</v>
      </c>
      <c r="E1445" s="15">
        <f t="shared" si="27"/>
        <v>75</v>
      </c>
      <c r="F1445" s="4">
        <f t="shared" si="28"/>
        <v>66</v>
      </c>
      <c r="G1445" s="15">
        <f t="shared" si="29"/>
        <v>66</v>
      </c>
    </row>
    <row r="1446" spans="1:7" ht="12.75">
      <c r="A1446" s="93">
        <f aca="true" t="shared" si="33" ref="A1446:A1455">B259</f>
        <v>3989</v>
      </c>
      <c r="B1446" s="17">
        <f aca="true" t="shared" si="34" ref="B1446:B1455">E259</f>
        <v>3.312</v>
      </c>
      <c r="C1446" s="4">
        <f t="shared" si="32"/>
        <v>1</v>
      </c>
      <c r="D1446" s="114">
        <f t="shared" si="32"/>
        <v>50</v>
      </c>
      <c r="E1446" s="15">
        <f aca="true" t="shared" si="35" ref="E1446:E1455">IF(F259=1,25,IF(G259=1,50,IF(H259=1,75,100)))</f>
        <v>50</v>
      </c>
      <c r="F1446" s="4">
        <f aca="true" t="shared" si="36" ref="F1446:F1455">IF(J259=1,33,IF(K259=1,66,99))</f>
        <v>66</v>
      </c>
      <c r="G1446" s="15">
        <f aca="true" t="shared" si="37" ref="G1446:G1455">IF(M259=1,33,IF(N259=1,66,99))</f>
        <v>66</v>
      </c>
    </row>
    <row r="1447" spans="1:7" ht="12.75">
      <c r="A1447" s="93">
        <f t="shared" si="33"/>
        <v>3433</v>
      </c>
      <c r="B1447" s="17">
        <f t="shared" si="34"/>
        <v>3.676</v>
      </c>
      <c r="C1447" s="4">
        <f t="shared" si="32"/>
        <v>0</v>
      </c>
      <c r="D1447" s="114">
        <f t="shared" si="32"/>
        <v>55</v>
      </c>
      <c r="E1447" s="15">
        <f t="shared" si="35"/>
        <v>75</v>
      </c>
      <c r="F1447" s="4">
        <f t="shared" si="36"/>
        <v>66</v>
      </c>
      <c r="G1447" s="15">
        <f t="shared" si="37"/>
        <v>66</v>
      </c>
    </row>
    <row r="1448" spans="1:7" ht="12.75">
      <c r="A1448" s="93">
        <f t="shared" si="33"/>
        <v>2321</v>
      </c>
      <c r="B1448" s="17">
        <f t="shared" si="34"/>
        <v>4.565</v>
      </c>
      <c r="C1448" s="4">
        <f t="shared" si="32"/>
        <v>0</v>
      </c>
      <c r="D1448" s="114">
        <f t="shared" si="32"/>
        <v>55</v>
      </c>
      <c r="E1448" s="15">
        <f t="shared" si="35"/>
        <v>100</v>
      </c>
      <c r="F1448" s="4">
        <f t="shared" si="36"/>
        <v>33</v>
      </c>
      <c r="G1448" s="15">
        <f t="shared" si="37"/>
        <v>33</v>
      </c>
    </row>
    <row r="1449" spans="1:7" ht="12.75">
      <c r="A1449" s="93">
        <f t="shared" si="33"/>
        <v>880</v>
      </c>
      <c r="B1449" s="17">
        <f t="shared" si="34"/>
        <v>3.81</v>
      </c>
      <c r="C1449" s="4">
        <f t="shared" si="32"/>
        <v>1</v>
      </c>
      <c r="D1449" s="114">
        <f t="shared" si="32"/>
        <v>51</v>
      </c>
      <c r="E1449" s="15">
        <f t="shared" si="35"/>
        <v>75</v>
      </c>
      <c r="F1449" s="4">
        <f t="shared" si="36"/>
        <v>66</v>
      </c>
      <c r="G1449" s="15">
        <f t="shared" si="37"/>
        <v>33</v>
      </c>
    </row>
    <row r="1450" spans="1:7" ht="12.75">
      <c r="A1450" s="93">
        <f t="shared" si="33"/>
        <v>1293</v>
      </c>
      <c r="B1450" s="17">
        <f t="shared" si="34"/>
        <v>3.37</v>
      </c>
      <c r="C1450" s="4">
        <f aca="true" t="shared" si="38" ref="C1450:D1455">C263</f>
        <v>0</v>
      </c>
      <c r="D1450" s="114">
        <f t="shared" si="38"/>
        <v>54</v>
      </c>
      <c r="E1450" s="15">
        <f t="shared" si="35"/>
        <v>75</v>
      </c>
      <c r="F1450" s="4">
        <f t="shared" si="36"/>
        <v>66</v>
      </c>
      <c r="G1450" s="15">
        <f t="shared" si="37"/>
        <v>99</v>
      </c>
    </row>
    <row r="1451" spans="1:7" ht="12.75">
      <c r="A1451" s="93">
        <f t="shared" si="33"/>
        <v>1049</v>
      </c>
      <c r="B1451" s="17">
        <f t="shared" si="34"/>
        <v>3.511</v>
      </c>
      <c r="C1451" s="4">
        <f t="shared" si="38"/>
        <v>1</v>
      </c>
      <c r="D1451" s="114">
        <f t="shared" si="38"/>
        <v>54</v>
      </c>
      <c r="E1451" s="15">
        <f t="shared" si="35"/>
        <v>75</v>
      </c>
      <c r="F1451" s="4">
        <f t="shared" si="36"/>
        <v>66</v>
      </c>
      <c r="G1451" s="15">
        <f t="shared" si="37"/>
        <v>33</v>
      </c>
    </row>
    <row r="1452" spans="1:7" ht="12.75">
      <c r="A1452" s="93">
        <f t="shared" si="33"/>
        <v>1774</v>
      </c>
      <c r="B1452" s="17">
        <f t="shared" si="34"/>
        <v>3.548</v>
      </c>
      <c r="C1452" s="4">
        <f t="shared" si="38"/>
        <v>0</v>
      </c>
      <c r="D1452" s="114">
        <f t="shared" si="38"/>
        <v>54</v>
      </c>
      <c r="E1452" s="15">
        <f t="shared" si="35"/>
        <v>75</v>
      </c>
      <c r="F1452" s="4">
        <f t="shared" si="36"/>
        <v>99</v>
      </c>
      <c r="G1452" s="15">
        <f t="shared" si="37"/>
        <v>99</v>
      </c>
    </row>
    <row r="1453" spans="1:7" ht="12.75">
      <c r="A1453" s="93">
        <f t="shared" si="33"/>
        <v>4218</v>
      </c>
      <c r="B1453" s="17">
        <f t="shared" si="34"/>
        <v>3.344</v>
      </c>
      <c r="C1453" s="4">
        <f t="shared" si="38"/>
        <v>0</v>
      </c>
      <c r="D1453" s="114">
        <f t="shared" si="38"/>
        <v>52</v>
      </c>
      <c r="E1453" s="15">
        <f t="shared" si="35"/>
        <v>50</v>
      </c>
      <c r="F1453" s="4">
        <f t="shared" si="36"/>
        <v>66</v>
      </c>
      <c r="G1453" s="15">
        <f t="shared" si="37"/>
        <v>66</v>
      </c>
    </row>
    <row r="1454" spans="1:7" ht="12.75">
      <c r="A1454" s="93">
        <f t="shared" si="33"/>
        <v>2570</v>
      </c>
      <c r="B1454" s="17">
        <f t="shared" si="34"/>
        <v>2.748</v>
      </c>
      <c r="C1454" s="4">
        <f t="shared" si="38"/>
        <v>0</v>
      </c>
      <c r="D1454" s="114">
        <f t="shared" si="38"/>
        <v>52</v>
      </c>
      <c r="E1454" s="15">
        <f t="shared" si="35"/>
        <v>25</v>
      </c>
      <c r="F1454" s="4">
        <f t="shared" si="36"/>
        <v>99</v>
      </c>
      <c r="G1454" s="15">
        <f t="shared" si="37"/>
        <v>66</v>
      </c>
    </row>
    <row r="1455" spans="1:7" ht="12.75">
      <c r="A1455" s="94">
        <f t="shared" si="33"/>
        <v>2364</v>
      </c>
      <c r="B1455" s="119">
        <f t="shared" si="34"/>
        <v>3.86</v>
      </c>
      <c r="C1455" s="7">
        <f t="shared" si="38"/>
        <v>1</v>
      </c>
      <c r="D1455" s="85">
        <f t="shared" si="38"/>
        <v>55</v>
      </c>
      <c r="E1455" s="43">
        <f t="shared" si="35"/>
        <v>100</v>
      </c>
      <c r="F1455" s="7">
        <f t="shared" si="36"/>
        <v>66</v>
      </c>
      <c r="G1455" s="43">
        <f t="shared" si="37"/>
        <v>66</v>
      </c>
    </row>
    <row r="1456" spans="2:5" ht="12.75">
      <c r="B1456" s="77"/>
      <c r="E1456"/>
    </row>
    <row r="1459" spans="1:5" ht="12.75">
      <c r="A1459" s="13" t="s">
        <v>301</v>
      </c>
      <c r="E1459"/>
    </row>
    <row r="1460" spans="1:5" ht="12.75">
      <c r="A1460" s="13" t="s">
        <v>314</v>
      </c>
      <c r="E1460"/>
    </row>
    <row r="1461" spans="1:14" ht="12.75">
      <c r="A1461" s="281"/>
      <c r="B1461" s="128" t="s">
        <v>4</v>
      </c>
      <c r="C1461" s="59" t="s">
        <v>5</v>
      </c>
      <c r="D1461" s="128" t="s">
        <v>0</v>
      </c>
      <c r="E1461" s="669" t="s">
        <v>6</v>
      </c>
      <c r="F1461" s="653"/>
      <c r="G1461" s="653"/>
      <c r="H1461" s="654"/>
      <c r="I1461" s="669" t="s">
        <v>7</v>
      </c>
      <c r="J1461" s="653"/>
      <c r="K1461" s="654"/>
      <c r="L1461" s="669" t="s">
        <v>8</v>
      </c>
      <c r="M1461" s="653"/>
      <c r="N1461" s="654"/>
    </row>
    <row r="1462" spans="1:14" ht="13.5" thickBot="1">
      <c r="A1462" s="159" t="s">
        <v>2</v>
      </c>
      <c r="B1462" s="282" t="s">
        <v>9</v>
      </c>
      <c r="C1462" s="283" t="s">
        <v>10</v>
      </c>
      <c r="D1462" s="282" t="s">
        <v>11</v>
      </c>
      <c r="E1462" s="284" t="s">
        <v>12</v>
      </c>
      <c r="F1462" s="156" t="s">
        <v>13</v>
      </c>
      <c r="G1462" s="160" t="s">
        <v>14</v>
      </c>
      <c r="H1462" s="156" t="s">
        <v>15</v>
      </c>
      <c r="I1462" s="160" t="s">
        <v>16</v>
      </c>
      <c r="J1462" s="156" t="s">
        <v>17</v>
      </c>
      <c r="K1462" s="160" t="s">
        <v>18</v>
      </c>
      <c r="L1462" s="156" t="s">
        <v>19</v>
      </c>
      <c r="M1462" s="160" t="s">
        <v>20</v>
      </c>
      <c r="N1462" s="157" t="s">
        <v>21</v>
      </c>
    </row>
    <row r="1463" spans="1:14" ht="13.5" thickTop="1">
      <c r="A1463" s="541">
        <v>333</v>
      </c>
      <c r="B1463" s="542">
        <v>1</v>
      </c>
      <c r="C1463" s="543">
        <v>40</v>
      </c>
      <c r="D1463" s="542">
        <v>2.251</v>
      </c>
      <c r="E1463" s="543">
        <v>1</v>
      </c>
      <c r="F1463" s="542">
        <v>0</v>
      </c>
      <c r="G1463" s="543">
        <v>0</v>
      </c>
      <c r="H1463" s="542">
        <v>0</v>
      </c>
      <c r="I1463" s="543">
        <v>1</v>
      </c>
      <c r="J1463" s="542">
        <v>0</v>
      </c>
      <c r="K1463" s="543">
        <v>0</v>
      </c>
      <c r="L1463" s="542">
        <v>1</v>
      </c>
      <c r="M1463" s="543">
        <v>0</v>
      </c>
      <c r="N1463" s="542">
        <v>0</v>
      </c>
    </row>
    <row r="1464" spans="1:14" ht="12.75">
      <c r="A1464" s="541">
        <v>449</v>
      </c>
      <c r="B1464" s="542">
        <v>1</v>
      </c>
      <c r="C1464" s="543">
        <v>31</v>
      </c>
      <c r="D1464" s="542">
        <v>2.318</v>
      </c>
      <c r="E1464" s="543">
        <v>1</v>
      </c>
      <c r="F1464" s="542">
        <v>0</v>
      </c>
      <c r="G1464" s="543">
        <v>0</v>
      </c>
      <c r="H1464" s="542">
        <v>0</v>
      </c>
      <c r="I1464" s="543">
        <v>1</v>
      </c>
      <c r="J1464" s="542">
        <v>0</v>
      </c>
      <c r="K1464" s="543">
        <v>0</v>
      </c>
      <c r="L1464" s="542">
        <v>1</v>
      </c>
      <c r="M1464" s="543">
        <v>0</v>
      </c>
      <c r="N1464" s="542">
        <v>0</v>
      </c>
    </row>
    <row r="1465" spans="1:14" ht="12.75">
      <c r="A1465" s="541">
        <v>548</v>
      </c>
      <c r="B1465" s="542">
        <v>1</v>
      </c>
      <c r="C1465" s="543">
        <v>43</v>
      </c>
      <c r="D1465" s="542">
        <v>1.564</v>
      </c>
      <c r="E1465" s="543">
        <v>1</v>
      </c>
      <c r="F1465" s="542">
        <v>0</v>
      </c>
      <c r="G1465" s="543">
        <v>0</v>
      </c>
      <c r="H1465" s="542">
        <v>0</v>
      </c>
      <c r="I1465" s="543">
        <v>1</v>
      </c>
      <c r="J1465" s="542">
        <v>0</v>
      </c>
      <c r="K1465" s="543">
        <v>0</v>
      </c>
      <c r="L1465" s="542">
        <v>1</v>
      </c>
      <c r="M1465" s="543">
        <v>0</v>
      </c>
      <c r="N1465" s="542">
        <v>0</v>
      </c>
    </row>
    <row r="1466" spans="1:14" ht="12.75">
      <c r="A1466" s="541">
        <v>1148</v>
      </c>
      <c r="B1466" s="542">
        <v>1</v>
      </c>
      <c r="C1466" s="543">
        <v>40</v>
      </c>
      <c r="D1466" s="542">
        <v>2.292</v>
      </c>
      <c r="E1466" s="543">
        <v>1</v>
      </c>
      <c r="F1466" s="542">
        <v>0</v>
      </c>
      <c r="G1466" s="543">
        <v>0</v>
      </c>
      <c r="H1466" s="542">
        <v>0</v>
      </c>
      <c r="I1466" s="543">
        <v>1</v>
      </c>
      <c r="J1466" s="542">
        <v>0</v>
      </c>
      <c r="K1466" s="543">
        <v>0</v>
      </c>
      <c r="L1466" s="542">
        <v>1</v>
      </c>
      <c r="M1466" s="543">
        <v>0</v>
      </c>
      <c r="N1466" s="542">
        <v>0</v>
      </c>
    </row>
    <row r="1467" spans="1:14" ht="12.75">
      <c r="A1467" s="544">
        <v>1472</v>
      </c>
      <c r="B1467" s="123">
        <v>1</v>
      </c>
      <c r="C1467" s="124">
        <v>52</v>
      </c>
      <c r="D1467" s="310">
        <v>2.318</v>
      </c>
      <c r="E1467" s="145">
        <v>1</v>
      </c>
      <c r="F1467" s="161">
        <v>0</v>
      </c>
      <c r="G1467" s="145">
        <v>0</v>
      </c>
      <c r="H1467" s="161">
        <v>0</v>
      </c>
      <c r="I1467" s="124">
        <v>0</v>
      </c>
      <c r="J1467" s="123">
        <v>1</v>
      </c>
      <c r="K1467" s="124">
        <v>0</v>
      </c>
      <c r="L1467" s="123">
        <v>1</v>
      </c>
      <c r="M1467" s="124">
        <v>0</v>
      </c>
      <c r="N1467" s="123">
        <v>0</v>
      </c>
    </row>
    <row r="1468" spans="1:14" ht="12.75">
      <c r="A1468" s="544">
        <v>1824</v>
      </c>
      <c r="B1468" s="123">
        <v>1</v>
      </c>
      <c r="C1468" s="124">
        <v>55</v>
      </c>
      <c r="D1468" s="310">
        <v>2.981</v>
      </c>
      <c r="E1468" s="145">
        <v>1</v>
      </c>
      <c r="F1468" s="161">
        <v>0</v>
      </c>
      <c r="G1468" s="145">
        <v>0</v>
      </c>
      <c r="H1468" s="161">
        <v>0</v>
      </c>
      <c r="I1468" s="124">
        <v>0</v>
      </c>
      <c r="J1468" s="123">
        <v>0</v>
      </c>
      <c r="K1468" s="124">
        <v>1</v>
      </c>
      <c r="L1468" s="123">
        <v>0</v>
      </c>
      <c r="M1468" s="124">
        <v>0</v>
      </c>
      <c r="N1468" s="123">
        <v>1</v>
      </c>
    </row>
    <row r="1469" spans="1:14" ht="12.75">
      <c r="A1469" s="545">
        <v>1851</v>
      </c>
      <c r="B1469" s="543">
        <v>1</v>
      </c>
      <c r="C1469" s="542">
        <v>33</v>
      </c>
      <c r="D1469" s="543">
        <v>2.045</v>
      </c>
      <c r="E1469" s="542">
        <v>1</v>
      </c>
      <c r="F1469" s="543">
        <v>0</v>
      </c>
      <c r="G1469" s="542">
        <v>0</v>
      </c>
      <c r="H1469" s="543">
        <v>0</v>
      </c>
      <c r="I1469" s="542">
        <v>1</v>
      </c>
      <c r="J1469" s="543">
        <v>0</v>
      </c>
      <c r="K1469" s="542">
        <v>0</v>
      </c>
      <c r="L1469" s="543">
        <v>1</v>
      </c>
      <c r="M1469" s="542">
        <v>0</v>
      </c>
      <c r="N1469" s="546">
        <v>0</v>
      </c>
    </row>
    <row r="1470" spans="1:14" ht="12.75">
      <c r="A1470" s="541">
        <v>2358</v>
      </c>
      <c r="B1470" s="542">
        <v>0</v>
      </c>
      <c r="C1470" s="543">
        <v>42</v>
      </c>
      <c r="D1470" s="542">
        <v>1.608</v>
      </c>
      <c r="E1470" s="543">
        <v>1</v>
      </c>
      <c r="F1470" s="542">
        <v>0</v>
      </c>
      <c r="G1470" s="543">
        <v>0</v>
      </c>
      <c r="H1470" s="542">
        <v>0</v>
      </c>
      <c r="I1470" s="543">
        <v>1</v>
      </c>
      <c r="J1470" s="542">
        <v>0</v>
      </c>
      <c r="K1470" s="543">
        <v>0</v>
      </c>
      <c r="L1470" s="542">
        <v>1</v>
      </c>
      <c r="M1470" s="543">
        <v>0</v>
      </c>
      <c r="N1470" s="542">
        <v>0</v>
      </c>
    </row>
    <row r="1471" spans="1:14" ht="12.75">
      <c r="A1471" s="541">
        <v>2718</v>
      </c>
      <c r="B1471" s="542">
        <v>1</v>
      </c>
      <c r="C1471" s="543">
        <v>40</v>
      </c>
      <c r="D1471" s="542">
        <v>1.877</v>
      </c>
      <c r="E1471" s="543">
        <v>1</v>
      </c>
      <c r="F1471" s="542">
        <v>0</v>
      </c>
      <c r="G1471" s="543">
        <v>0</v>
      </c>
      <c r="H1471" s="542">
        <v>0</v>
      </c>
      <c r="I1471" s="543">
        <v>1</v>
      </c>
      <c r="J1471" s="542">
        <v>0</v>
      </c>
      <c r="K1471" s="543">
        <v>0</v>
      </c>
      <c r="L1471" s="542">
        <v>1</v>
      </c>
      <c r="M1471" s="543">
        <v>0</v>
      </c>
      <c r="N1471" s="542">
        <v>0</v>
      </c>
    </row>
    <row r="1472" spans="1:14" ht="12.75">
      <c r="A1472" s="541">
        <v>2830</v>
      </c>
      <c r="B1472" s="542">
        <v>1</v>
      </c>
      <c r="C1472" s="543">
        <v>21</v>
      </c>
      <c r="D1472" s="542">
        <v>1.829</v>
      </c>
      <c r="E1472" s="543">
        <v>1</v>
      </c>
      <c r="F1472" s="542">
        <v>0</v>
      </c>
      <c r="G1472" s="543">
        <v>0</v>
      </c>
      <c r="H1472" s="542">
        <v>0</v>
      </c>
      <c r="I1472" s="543">
        <v>1</v>
      </c>
      <c r="J1472" s="542">
        <v>0</v>
      </c>
      <c r="K1472" s="543">
        <v>0</v>
      </c>
      <c r="L1472" s="542">
        <v>1</v>
      </c>
      <c r="M1472" s="543">
        <v>0</v>
      </c>
      <c r="N1472" s="542">
        <v>0</v>
      </c>
    </row>
    <row r="1473" spans="1:14" ht="12.75">
      <c r="A1473" s="541">
        <v>2944</v>
      </c>
      <c r="B1473" s="542">
        <v>0</v>
      </c>
      <c r="C1473" s="543">
        <v>39</v>
      </c>
      <c r="D1473" s="542">
        <v>1.979</v>
      </c>
      <c r="E1473" s="543">
        <v>1</v>
      </c>
      <c r="F1473" s="542">
        <v>0</v>
      </c>
      <c r="G1473" s="543">
        <v>0</v>
      </c>
      <c r="H1473" s="542">
        <v>0</v>
      </c>
      <c r="I1473" s="543">
        <v>1</v>
      </c>
      <c r="J1473" s="542">
        <v>0</v>
      </c>
      <c r="K1473" s="543">
        <v>0</v>
      </c>
      <c r="L1473" s="542">
        <v>1</v>
      </c>
      <c r="M1473" s="543">
        <v>0</v>
      </c>
      <c r="N1473" s="542">
        <v>0</v>
      </c>
    </row>
    <row r="1474" spans="1:14" ht="12.75">
      <c r="A1474" s="544">
        <v>2957</v>
      </c>
      <c r="B1474" s="123">
        <v>1</v>
      </c>
      <c r="C1474" s="124">
        <v>52</v>
      </c>
      <c r="D1474" s="310">
        <v>2.781</v>
      </c>
      <c r="E1474" s="145">
        <v>1</v>
      </c>
      <c r="F1474" s="161">
        <v>0</v>
      </c>
      <c r="G1474" s="145">
        <v>0</v>
      </c>
      <c r="H1474" s="161">
        <v>0</v>
      </c>
      <c r="I1474" s="124">
        <v>0</v>
      </c>
      <c r="J1474" s="123">
        <v>0</v>
      </c>
      <c r="K1474" s="124">
        <v>1</v>
      </c>
      <c r="L1474" s="123">
        <v>0</v>
      </c>
      <c r="M1474" s="124">
        <v>1</v>
      </c>
      <c r="N1474" s="123">
        <v>0</v>
      </c>
    </row>
    <row r="1475" spans="1:14" ht="12.75">
      <c r="A1475" s="541">
        <v>3201</v>
      </c>
      <c r="B1475" s="542">
        <v>1</v>
      </c>
      <c r="C1475" s="543">
        <v>44</v>
      </c>
      <c r="D1475" s="542">
        <v>2.211</v>
      </c>
      <c r="E1475" s="543">
        <v>1</v>
      </c>
      <c r="F1475" s="542">
        <v>0</v>
      </c>
      <c r="G1475" s="543">
        <v>0</v>
      </c>
      <c r="H1475" s="542">
        <v>0</v>
      </c>
      <c r="I1475" s="543">
        <v>0</v>
      </c>
      <c r="J1475" s="542">
        <v>1</v>
      </c>
      <c r="K1475" s="543">
        <v>0</v>
      </c>
      <c r="L1475" s="542">
        <v>1</v>
      </c>
      <c r="M1475" s="543">
        <v>0</v>
      </c>
      <c r="N1475" s="542">
        <v>0</v>
      </c>
    </row>
    <row r="1476" spans="1:14" ht="12.75">
      <c r="A1476" s="541">
        <v>3469</v>
      </c>
      <c r="B1476" s="542">
        <v>1</v>
      </c>
      <c r="C1476" s="543">
        <v>37</v>
      </c>
      <c r="D1476" s="542">
        <v>2.365</v>
      </c>
      <c r="E1476" s="543">
        <v>1</v>
      </c>
      <c r="F1476" s="542">
        <v>0</v>
      </c>
      <c r="G1476" s="543">
        <v>0</v>
      </c>
      <c r="H1476" s="542">
        <v>0</v>
      </c>
      <c r="I1476" s="543">
        <v>1</v>
      </c>
      <c r="J1476" s="542">
        <v>0</v>
      </c>
      <c r="K1476" s="543">
        <v>0</v>
      </c>
      <c r="L1476" s="542">
        <v>1</v>
      </c>
      <c r="M1476" s="543">
        <v>0</v>
      </c>
      <c r="N1476" s="542">
        <v>0</v>
      </c>
    </row>
    <row r="1477" spans="1:14" ht="12.75">
      <c r="A1477" s="541">
        <v>3486</v>
      </c>
      <c r="B1477" s="542">
        <v>1</v>
      </c>
      <c r="C1477" s="543">
        <v>34</v>
      </c>
      <c r="D1477" s="542">
        <v>1.289</v>
      </c>
      <c r="E1477" s="543">
        <v>1</v>
      </c>
      <c r="F1477" s="542">
        <v>0</v>
      </c>
      <c r="G1477" s="543">
        <v>0</v>
      </c>
      <c r="H1477" s="542">
        <v>0</v>
      </c>
      <c r="I1477" s="543">
        <v>1</v>
      </c>
      <c r="J1477" s="542">
        <v>0</v>
      </c>
      <c r="K1477" s="543">
        <v>0</v>
      </c>
      <c r="L1477" s="542">
        <v>1</v>
      </c>
      <c r="M1477" s="543">
        <v>0</v>
      </c>
      <c r="N1477" s="542">
        <v>0</v>
      </c>
    </row>
    <row r="1478" spans="1:14" ht="12.75">
      <c r="A1478" s="541">
        <v>3502</v>
      </c>
      <c r="B1478" s="542">
        <v>1</v>
      </c>
      <c r="C1478" s="543">
        <v>41</v>
      </c>
      <c r="D1478" s="542">
        <v>2.194</v>
      </c>
      <c r="E1478" s="543">
        <v>1</v>
      </c>
      <c r="F1478" s="542">
        <v>0</v>
      </c>
      <c r="G1478" s="543">
        <v>0</v>
      </c>
      <c r="H1478" s="542">
        <v>0</v>
      </c>
      <c r="I1478" s="543">
        <v>1</v>
      </c>
      <c r="J1478" s="542">
        <v>0</v>
      </c>
      <c r="K1478" s="543">
        <v>0</v>
      </c>
      <c r="L1478" s="542">
        <v>1</v>
      </c>
      <c r="M1478" s="543">
        <v>0</v>
      </c>
      <c r="N1478" s="542">
        <v>0</v>
      </c>
    </row>
    <row r="1479" spans="1:14" ht="12.75">
      <c r="A1479" s="541">
        <v>3538</v>
      </c>
      <c r="B1479" s="542">
        <v>1</v>
      </c>
      <c r="C1479" s="543">
        <v>43</v>
      </c>
      <c r="D1479" s="542">
        <v>1.688</v>
      </c>
      <c r="E1479" s="543">
        <v>1</v>
      </c>
      <c r="F1479" s="542">
        <v>0</v>
      </c>
      <c r="G1479" s="543">
        <v>0</v>
      </c>
      <c r="H1479" s="542">
        <v>0</v>
      </c>
      <c r="I1479" s="543">
        <v>1</v>
      </c>
      <c r="J1479" s="542">
        <v>0</v>
      </c>
      <c r="K1479" s="543">
        <v>0</v>
      </c>
      <c r="L1479" s="542">
        <v>1</v>
      </c>
      <c r="M1479" s="543">
        <v>0</v>
      </c>
      <c r="N1479" s="542">
        <v>0</v>
      </c>
    </row>
    <row r="1480" spans="1:14" ht="13.5" thickBot="1">
      <c r="A1480" s="547">
        <v>4574</v>
      </c>
      <c r="B1480" s="548">
        <v>0</v>
      </c>
      <c r="C1480" s="549">
        <v>40</v>
      </c>
      <c r="D1480" s="548">
        <v>2.192</v>
      </c>
      <c r="E1480" s="549">
        <v>1</v>
      </c>
      <c r="F1480" s="548">
        <v>0</v>
      </c>
      <c r="G1480" s="549">
        <v>0</v>
      </c>
      <c r="H1480" s="548">
        <v>0</v>
      </c>
      <c r="I1480" s="549">
        <v>1</v>
      </c>
      <c r="J1480" s="548">
        <v>0</v>
      </c>
      <c r="K1480" s="549">
        <v>0</v>
      </c>
      <c r="L1480" s="548">
        <v>1</v>
      </c>
      <c r="M1480" s="549">
        <v>0</v>
      </c>
      <c r="N1480" s="548">
        <v>0</v>
      </c>
    </row>
    <row r="1481" spans="1:5" ht="12.75">
      <c r="A1481" s="13"/>
      <c r="E1481"/>
    </row>
    <row r="1482" spans="1:5" ht="12.75">
      <c r="A1482" s="13"/>
      <c r="E1482"/>
    </row>
    <row r="1483" spans="1:5" ht="12.75">
      <c r="A1483" s="13" t="s">
        <v>315</v>
      </c>
      <c r="E1483"/>
    </row>
    <row r="1484" spans="1:14" ht="12.75">
      <c r="A1484" s="281"/>
      <c r="B1484" s="128" t="s">
        <v>4</v>
      </c>
      <c r="C1484" s="59" t="s">
        <v>5</v>
      </c>
      <c r="D1484" s="128" t="s">
        <v>0</v>
      </c>
      <c r="E1484" s="669" t="s">
        <v>6</v>
      </c>
      <c r="F1484" s="653"/>
      <c r="G1484" s="653"/>
      <c r="H1484" s="654"/>
      <c r="I1484" s="669" t="s">
        <v>7</v>
      </c>
      <c r="J1484" s="653"/>
      <c r="K1484" s="654"/>
      <c r="L1484" s="669" t="s">
        <v>8</v>
      </c>
      <c r="M1484" s="653"/>
      <c r="N1484" s="654"/>
    </row>
    <row r="1485" spans="1:14" ht="13.5" thickBot="1">
      <c r="A1485" s="159" t="s">
        <v>2</v>
      </c>
      <c r="B1485" s="282" t="s">
        <v>9</v>
      </c>
      <c r="C1485" s="283" t="s">
        <v>10</v>
      </c>
      <c r="D1485" s="282" t="s">
        <v>11</v>
      </c>
      <c r="E1485" s="284" t="s">
        <v>12</v>
      </c>
      <c r="F1485" s="156" t="s">
        <v>13</v>
      </c>
      <c r="G1485" s="160" t="s">
        <v>14</v>
      </c>
      <c r="H1485" s="156" t="s">
        <v>15</v>
      </c>
      <c r="I1485" s="160" t="s">
        <v>16</v>
      </c>
      <c r="J1485" s="156" t="s">
        <v>17</v>
      </c>
      <c r="K1485" s="160" t="s">
        <v>18</v>
      </c>
      <c r="L1485" s="156" t="s">
        <v>19</v>
      </c>
      <c r="M1485" s="160" t="s">
        <v>20</v>
      </c>
      <c r="N1485" s="157" t="s">
        <v>21</v>
      </c>
    </row>
    <row r="1486" spans="1:14" ht="13.5" thickTop="1">
      <c r="A1486" s="541">
        <v>380</v>
      </c>
      <c r="B1486" s="542">
        <v>1</v>
      </c>
      <c r="C1486" s="543">
        <v>51</v>
      </c>
      <c r="D1486" s="542">
        <v>2.654</v>
      </c>
      <c r="E1486" s="543">
        <v>0</v>
      </c>
      <c r="F1486" s="542">
        <v>1</v>
      </c>
      <c r="G1486" s="543">
        <v>0</v>
      </c>
      <c r="H1486" s="542">
        <v>0</v>
      </c>
      <c r="I1486" s="543">
        <v>0</v>
      </c>
      <c r="J1486" s="542">
        <v>1</v>
      </c>
      <c r="K1486" s="543">
        <v>0</v>
      </c>
      <c r="L1486" s="542">
        <v>0</v>
      </c>
      <c r="M1486" s="543">
        <v>1</v>
      </c>
      <c r="N1486" s="542">
        <v>0</v>
      </c>
    </row>
    <row r="1487" spans="1:14" ht="12.75">
      <c r="A1487" s="544">
        <v>750</v>
      </c>
      <c r="B1487" s="123">
        <v>0</v>
      </c>
      <c r="C1487" s="124">
        <v>53</v>
      </c>
      <c r="D1487" s="310">
        <v>3.231</v>
      </c>
      <c r="E1487" s="145">
        <v>0</v>
      </c>
      <c r="F1487" s="161">
        <v>1</v>
      </c>
      <c r="G1487" s="145">
        <v>0</v>
      </c>
      <c r="H1487" s="161">
        <v>0</v>
      </c>
      <c r="I1487" s="124">
        <v>0</v>
      </c>
      <c r="J1487" s="123">
        <v>0</v>
      </c>
      <c r="K1487" s="124">
        <v>1</v>
      </c>
      <c r="L1487" s="123">
        <v>0</v>
      </c>
      <c r="M1487" s="124">
        <v>1</v>
      </c>
      <c r="N1487" s="123">
        <v>0</v>
      </c>
    </row>
    <row r="1488" spans="1:14" ht="12.75">
      <c r="A1488" s="541">
        <v>827</v>
      </c>
      <c r="B1488" s="542">
        <v>0</v>
      </c>
      <c r="C1488" s="543">
        <v>48</v>
      </c>
      <c r="D1488" s="542">
        <v>2.648</v>
      </c>
      <c r="E1488" s="543">
        <v>0</v>
      </c>
      <c r="F1488" s="542">
        <v>1</v>
      </c>
      <c r="G1488" s="543">
        <v>0</v>
      </c>
      <c r="H1488" s="542">
        <v>0</v>
      </c>
      <c r="I1488" s="543">
        <v>0</v>
      </c>
      <c r="J1488" s="542">
        <v>1</v>
      </c>
      <c r="K1488" s="543">
        <v>0</v>
      </c>
      <c r="L1488" s="542">
        <v>0</v>
      </c>
      <c r="M1488" s="543">
        <v>1</v>
      </c>
      <c r="N1488" s="542">
        <v>0</v>
      </c>
    </row>
    <row r="1489" spans="1:14" ht="12.75">
      <c r="A1489" s="541">
        <v>1162</v>
      </c>
      <c r="B1489" s="542">
        <v>1</v>
      </c>
      <c r="C1489" s="543">
        <v>49</v>
      </c>
      <c r="D1489" s="542">
        <v>2.468</v>
      </c>
      <c r="E1489" s="543">
        <v>0</v>
      </c>
      <c r="F1489" s="542">
        <v>1</v>
      </c>
      <c r="G1489" s="543">
        <v>0</v>
      </c>
      <c r="H1489" s="542">
        <v>0</v>
      </c>
      <c r="I1489" s="543">
        <v>0</v>
      </c>
      <c r="J1489" s="542">
        <v>1</v>
      </c>
      <c r="K1489" s="543">
        <v>0</v>
      </c>
      <c r="L1489" s="542">
        <v>1</v>
      </c>
      <c r="M1489" s="543">
        <v>0</v>
      </c>
      <c r="N1489" s="542">
        <v>0</v>
      </c>
    </row>
    <row r="1490" spans="1:14" ht="12.75">
      <c r="A1490" s="545">
        <v>1411</v>
      </c>
      <c r="B1490" s="542">
        <v>0</v>
      </c>
      <c r="C1490" s="543">
        <v>44</v>
      </c>
      <c r="D1490" s="542">
        <v>2.554</v>
      </c>
      <c r="E1490" s="543">
        <v>0</v>
      </c>
      <c r="F1490" s="542">
        <v>1</v>
      </c>
      <c r="G1490" s="543">
        <v>0</v>
      </c>
      <c r="H1490" s="542">
        <v>0</v>
      </c>
      <c r="I1490" s="543">
        <v>0</v>
      </c>
      <c r="J1490" s="542">
        <v>1</v>
      </c>
      <c r="K1490" s="543">
        <v>0</v>
      </c>
      <c r="L1490" s="542">
        <v>0</v>
      </c>
      <c r="M1490" s="543">
        <v>1</v>
      </c>
      <c r="N1490" s="542">
        <v>0</v>
      </c>
    </row>
    <row r="1491" spans="1:14" ht="12.75">
      <c r="A1491" s="541">
        <v>1690</v>
      </c>
      <c r="B1491" s="542">
        <v>1</v>
      </c>
      <c r="C1491" s="543">
        <v>47</v>
      </c>
      <c r="D1491" s="542">
        <v>2.577</v>
      </c>
      <c r="E1491" s="543">
        <v>0</v>
      </c>
      <c r="F1491" s="542">
        <v>1</v>
      </c>
      <c r="G1491" s="543">
        <v>0</v>
      </c>
      <c r="H1491" s="542">
        <v>0</v>
      </c>
      <c r="I1491" s="543">
        <v>0</v>
      </c>
      <c r="J1491" s="542">
        <v>1</v>
      </c>
      <c r="K1491" s="543">
        <v>0</v>
      </c>
      <c r="L1491" s="542">
        <v>0</v>
      </c>
      <c r="M1491" s="543">
        <v>1</v>
      </c>
      <c r="N1491" s="542">
        <v>0</v>
      </c>
    </row>
    <row r="1492" spans="1:14" ht="12.75">
      <c r="A1492" s="541">
        <v>1748</v>
      </c>
      <c r="B1492" s="542">
        <v>0</v>
      </c>
      <c r="C1492" s="543">
        <v>43</v>
      </c>
      <c r="D1492" s="542">
        <v>2.543</v>
      </c>
      <c r="E1492" s="543">
        <v>0</v>
      </c>
      <c r="F1492" s="542">
        <v>1</v>
      </c>
      <c r="G1492" s="543">
        <v>0</v>
      </c>
      <c r="H1492" s="542">
        <v>0</v>
      </c>
      <c r="I1492" s="543">
        <v>0</v>
      </c>
      <c r="J1492" s="542">
        <v>1</v>
      </c>
      <c r="K1492" s="543">
        <v>0</v>
      </c>
      <c r="L1492" s="542">
        <v>0</v>
      </c>
      <c r="M1492" s="543">
        <v>1</v>
      </c>
      <c r="N1492" s="542">
        <v>0</v>
      </c>
    </row>
    <row r="1493" spans="1:14" ht="12.75">
      <c r="A1493" s="541">
        <v>2096</v>
      </c>
      <c r="B1493" s="542">
        <v>1</v>
      </c>
      <c r="C1493" s="543">
        <v>39</v>
      </c>
      <c r="D1493" s="542">
        <v>2.592</v>
      </c>
      <c r="E1493" s="543">
        <v>0</v>
      </c>
      <c r="F1493" s="542">
        <v>1</v>
      </c>
      <c r="G1493" s="543">
        <v>0</v>
      </c>
      <c r="H1493" s="542">
        <v>0</v>
      </c>
      <c r="I1493" s="543">
        <v>0</v>
      </c>
      <c r="J1493" s="542">
        <v>1</v>
      </c>
      <c r="K1493" s="543">
        <v>0</v>
      </c>
      <c r="L1493" s="542">
        <v>0</v>
      </c>
      <c r="M1493" s="543">
        <v>1</v>
      </c>
      <c r="N1493" s="542">
        <v>0</v>
      </c>
    </row>
    <row r="1494" spans="1:14" ht="12.75">
      <c r="A1494" s="541">
        <v>2864</v>
      </c>
      <c r="B1494" s="542">
        <v>1</v>
      </c>
      <c r="C1494" s="543">
        <v>38</v>
      </c>
      <c r="D1494" s="542">
        <v>2.769</v>
      </c>
      <c r="E1494" s="543">
        <v>0</v>
      </c>
      <c r="F1494" s="542">
        <v>1</v>
      </c>
      <c r="G1494" s="543">
        <v>0</v>
      </c>
      <c r="H1494" s="542">
        <v>0</v>
      </c>
      <c r="I1494" s="543">
        <v>0</v>
      </c>
      <c r="J1494" s="542">
        <v>1</v>
      </c>
      <c r="K1494" s="543">
        <v>0</v>
      </c>
      <c r="L1494" s="542">
        <v>0</v>
      </c>
      <c r="M1494" s="543">
        <v>1</v>
      </c>
      <c r="N1494" s="542">
        <v>0</v>
      </c>
    </row>
    <row r="1495" spans="1:14" ht="12.75">
      <c r="A1495" s="541">
        <v>3093</v>
      </c>
      <c r="B1495" s="542">
        <v>1</v>
      </c>
      <c r="C1495" s="543">
        <v>53</v>
      </c>
      <c r="D1495" s="542">
        <v>2.569</v>
      </c>
      <c r="E1495" s="543">
        <v>0</v>
      </c>
      <c r="F1495" s="542">
        <v>1</v>
      </c>
      <c r="G1495" s="543">
        <v>0</v>
      </c>
      <c r="H1495" s="542">
        <v>0</v>
      </c>
      <c r="I1495" s="543">
        <v>0</v>
      </c>
      <c r="J1495" s="542">
        <v>1</v>
      </c>
      <c r="K1495" s="543">
        <v>0</v>
      </c>
      <c r="L1495" s="542">
        <v>0</v>
      </c>
      <c r="M1495" s="543">
        <v>1</v>
      </c>
      <c r="N1495" s="542">
        <v>0</v>
      </c>
    </row>
    <row r="1496" spans="1:14" ht="12.75">
      <c r="A1496" s="541">
        <v>3171</v>
      </c>
      <c r="B1496" s="542">
        <v>0</v>
      </c>
      <c r="C1496" s="543">
        <v>44</v>
      </c>
      <c r="D1496" s="542">
        <v>2.648</v>
      </c>
      <c r="E1496" s="543">
        <v>0</v>
      </c>
      <c r="F1496" s="542">
        <v>1</v>
      </c>
      <c r="G1496" s="543">
        <v>0</v>
      </c>
      <c r="H1496" s="542">
        <v>0</v>
      </c>
      <c r="I1496" s="543">
        <v>0</v>
      </c>
      <c r="J1496" s="542">
        <v>1</v>
      </c>
      <c r="K1496" s="543">
        <v>0</v>
      </c>
      <c r="L1496" s="542">
        <v>0</v>
      </c>
      <c r="M1496" s="543">
        <v>1</v>
      </c>
      <c r="N1496" s="542">
        <v>0</v>
      </c>
    </row>
    <row r="1497" spans="1:14" ht="12.75">
      <c r="A1497" s="541">
        <v>3444</v>
      </c>
      <c r="B1497" s="542">
        <v>0</v>
      </c>
      <c r="C1497" s="543">
        <v>35</v>
      </c>
      <c r="D1497" s="542">
        <v>2.505</v>
      </c>
      <c r="E1497" s="543">
        <v>0</v>
      </c>
      <c r="F1497" s="542">
        <v>1</v>
      </c>
      <c r="G1497" s="543">
        <v>0</v>
      </c>
      <c r="H1497" s="542">
        <v>0</v>
      </c>
      <c r="I1497" s="543">
        <v>0</v>
      </c>
      <c r="J1497" s="542">
        <v>1</v>
      </c>
      <c r="K1497" s="543">
        <v>0</v>
      </c>
      <c r="L1497" s="542">
        <v>0</v>
      </c>
      <c r="M1497" s="543">
        <v>1</v>
      </c>
      <c r="N1497" s="542">
        <v>0</v>
      </c>
    </row>
    <row r="1498" spans="1:14" ht="12.75">
      <c r="A1498" s="544">
        <v>3989</v>
      </c>
      <c r="B1498" s="123">
        <v>1</v>
      </c>
      <c r="C1498" s="124">
        <v>50</v>
      </c>
      <c r="D1498" s="310">
        <v>3.312</v>
      </c>
      <c r="E1498" s="145">
        <v>0</v>
      </c>
      <c r="F1498" s="161">
        <v>1</v>
      </c>
      <c r="G1498" s="145">
        <v>0</v>
      </c>
      <c r="H1498" s="161">
        <v>0</v>
      </c>
      <c r="I1498" s="124">
        <v>0</v>
      </c>
      <c r="J1498" s="123">
        <v>1</v>
      </c>
      <c r="K1498" s="124">
        <v>0</v>
      </c>
      <c r="L1498" s="123">
        <v>0</v>
      </c>
      <c r="M1498" s="124">
        <v>1</v>
      </c>
      <c r="N1498" s="123">
        <v>0</v>
      </c>
    </row>
    <row r="1499" spans="1:14" ht="13.5" thickBot="1">
      <c r="A1499" s="550">
        <v>4433</v>
      </c>
      <c r="B1499" s="549">
        <v>0</v>
      </c>
      <c r="C1499" s="548">
        <v>53</v>
      </c>
      <c r="D1499" s="549">
        <v>2.74</v>
      </c>
      <c r="E1499" s="548">
        <v>0</v>
      </c>
      <c r="F1499" s="549">
        <v>1</v>
      </c>
      <c r="G1499" s="548">
        <v>0</v>
      </c>
      <c r="H1499" s="549">
        <v>0</v>
      </c>
      <c r="I1499" s="548">
        <v>0</v>
      </c>
      <c r="J1499" s="549">
        <v>1</v>
      </c>
      <c r="K1499" s="548">
        <v>0</v>
      </c>
      <c r="L1499" s="549">
        <v>0</v>
      </c>
      <c r="M1499" s="548">
        <v>1</v>
      </c>
      <c r="N1499" s="551">
        <v>0</v>
      </c>
    </row>
    <row r="1500" spans="1:5" ht="12.75">
      <c r="A1500" s="13"/>
      <c r="E1500"/>
    </row>
    <row r="1501" spans="1:5" ht="12.75">
      <c r="A1501" s="13"/>
      <c r="E1501"/>
    </row>
    <row r="1502" spans="1:5" ht="12.75">
      <c r="A1502" s="13" t="s">
        <v>316</v>
      </c>
      <c r="E1502"/>
    </row>
    <row r="1503" spans="1:14" ht="12.75">
      <c r="A1503" s="281"/>
      <c r="B1503" s="128" t="s">
        <v>4</v>
      </c>
      <c r="C1503" s="59" t="s">
        <v>5</v>
      </c>
      <c r="D1503" s="128" t="s">
        <v>0</v>
      </c>
      <c r="E1503" s="669" t="s">
        <v>6</v>
      </c>
      <c r="F1503" s="653"/>
      <c r="G1503" s="653"/>
      <c r="H1503" s="654"/>
      <c r="I1503" s="669" t="s">
        <v>7</v>
      </c>
      <c r="J1503" s="653"/>
      <c r="K1503" s="654"/>
      <c r="L1503" s="669" t="s">
        <v>8</v>
      </c>
      <c r="M1503" s="653"/>
      <c r="N1503" s="654"/>
    </row>
    <row r="1504" spans="1:14" ht="13.5" thickBot="1">
      <c r="A1504" s="159" t="s">
        <v>2</v>
      </c>
      <c r="B1504" s="282" t="s">
        <v>9</v>
      </c>
      <c r="C1504" s="283" t="s">
        <v>10</v>
      </c>
      <c r="D1504" s="282" t="s">
        <v>11</v>
      </c>
      <c r="E1504" s="284" t="s">
        <v>12</v>
      </c>
      <c r="F1504" s="156" t="s">
        <v>13</v>
      </c>
      <c r="G1504" s="160" t="s">
        <v>14</v>
      </c>
      <c r="H1504" s="156" t="s">
        <v>15</v>
      </c>
      <c r="I1504" s="160" t="s">
        <v>16</v>
      </c>
      <c r="J1504" s="156" t="s">
        <v>17</v>
      </c>
      <c r="K1504" s="160" t="s">
        <v>18</v>
      </c>
      <c r="L1504" s="156" t="s">
        <v>19</v>
      </c>
      <c r="M1504" s="160" t="s">
        <v>20</v>
      </c>
      <c r="N1504" s="157" t="s">
        <v>21</v>
      </c>
    </row>
    <row r="1505" spans="1:14" ht="13.5" thickTop="1">
      <c r="A1505" s="541">
        <v>14</v>
      </c>
      <c r="B1505" s="542">
        <v>1</v>
      </c>
      <c r="C1505" s="543">
        <v>61</v>
      </c>
      <c r="D1505" s="542">
        <v>2.974</v>
      </c>
      <c r="E1505" s="543">
        <v>0</v>
      </c>
      <c r="F1505" s="542">
        <v>0</v>
      </c>
      <c r="G1505" s="543">
        <v>1</v>
      </c>
      <c r="H1505" s="542">
        <v>0</v>
      </c>
      <c r="I1505" s="543">
        <v>0</v>
      </c>
      <c r="J1505" s="542">
        <v>1</v>
      </c>
      <c r="K1505" s="543">
        <v>0</v>
      </c>
      <c r="L1505" s="542">
        <v>0</v>
      </c>
      <c r="M1505" s="543">
        <v>0</v>
      </c>
      <c r="N1505" s="542">
        <v>1</v>
      </c>
    </row>
    <row r="1506" spans="1:14" ht="12.75">
      <c r="A1506" s="541">
        <v>167</v>
      </c>
      <c r="B1506" s="542">
        <v>1</v>
      </c>
      <c r="C1506" s="543">
        <v>48</v>
      </c>
      <c r="D1506" s="542">
        <v>2.148</v>
      </c>
      <c r="E1506" s="543">
        <v>0</v>
      </c>
      <c r="F1506" s="542">
        <v>0</v>
      </c>
      <c r="G1506" s="543">
        <v>1</v>
      </c>
      <c r="H1506" s="542">
        <v>0</v>
      </c>
      <c r="I1506" s="543">
        <v>0</v>
      </c>
      <c r="J1506" s="542">
        <v>1</v>
      </c>
      <c r="K1506" s="543">
        <v>0</v>
      </c>
      <c r="L1506" s="542">
        <v>1</v>
      </c>
      <c r="M1506" s="543">
        <v>0</v>
      </c>
      <c r="N1506" s="542">
        <v>0</v>
      </c>
    </row>
    <row r="1507" spans="1:14" ht="12.75">
      <c r="A1507" s="541">
        <v>705</v>
      </c>
      <c r="B1507" s="542">
        <v>0</v>
      </c>
      <c r="C1507" s="543">
        <v>49</v>
      </c>
      <c r="D1507" s="542">
        <v>2.992</v>
      </c>
      <c r="E1507" s="543">
        <v>0</v>
      </c>
      <c r="F1507" s="542">
        <v>0</v>
      </c>
      <c r="G1507" s="543">
        <v>1</v>
      </c>
      <c r="H1507" s="542">
        <v>0</v>
      </c>
      <c r="I1507" s="543">
        <v>0</v>
      </c>
      <c r="J1507" s="542">
        <v>1</v>
      </c>
      <c r="K1507" s="543">
        <v>0</v>
      </c>
      <c r="L1507" s="542">
        <v>0</v>
      </c>
      <c r="M1507" s="543">
        <v>0</v>
      </c>
      <c r="N1507" s="542">
        <v>1</v>
      </c>
    </row>
    <row r="1508" spans="1:14" ht="12.75">
      <c r="A1508" s="544">
        <v>949</v>
      </c>
      <c r="B1508" s="123">
        <v>0</v>
      </c>
      <c r="C1508" s="124">
        <v>55</v>
      </c>
      <c r="D1508" s="310">
        <v>3.594</v>
      </c>
      <c r="E1508" s="145">
        <v>0</v>
      </c>
      <c r="F1508" s="161">
        <v>0</v>
      </c>
      <c r="G1508" s="145">
        <v>1</v>
      </c>
      <c r="H1508" s="161">
        <v>0</v>
      </c>
      <c r="I1508" s="124">
        <v>0</v>
      </c>
      <c r="J1508" s="123">
        <v>1</v>
      </c>
      <c r="K1508" s="124">
        <v>0</v>
      </c>
      <c r="L1508" s="123">
        <v>1</v>
      </c>
      <c r="M1508" s="124">
        <v>0</v>
      </c>
      <c r="N1508" s="123">
        <v>0</v>
      </c>
    </row>
    <row r="1509" spans="1:14" ht="12.75">
      <c r="A1509" s="541">
        <v>1028</v>
      </c>
      <c r="B1509" s="542">
        <v>1</v>
      </c>
      <c r="C1509" s="543">
        <v>49</v>
      </c>
      <c r="D1509" s="542">
        <v>4.301</v>
      </c>
      <c r="E1509" s="543">
        <v>0</v>
      </c>
      <c r="F1509" s="542">
        <v>0</v>
      </c>
      <c r="G1509" s="543">
        <v>1</v>
      </c>
      <c r="H1509" s="542">
        <v>0</v>
      </c>
      <c r="I1509" s="543">
        <v>0</v>
      </c>
      <c r="J1509" s="542">
        <v>1</v>
      </c>
      <c r="K1509" s="543">
        <v>0</v>
      </c>
      <c r="L1509" s="542">
        <v>0</v>
      </c>
      <c r="M1509" s="543">
        <v>1</v>
      </c>
      <c r="N1509" s="542">
        <v>0</v>
      </c>
    </row>
    <row r="1510" spans="1:14" ht="12.75">
      <c r="A1510" s="541">
        <v>1065</v>
      </c>
      <c r="B1510" s="542">
        <v>0</v>
      </c>
      <c r="C1510" s="543">
        <v>38</v>
      </c>
      <c r="D1510" s="542">
        <v>3.64</v>
      </c>
      <c r="E1510" s="543">
        <v>0</v>
      </c>
      <c r="F1510" s="542">
        <v>0</v>
      </c>
      <c r="G1510" s="543">
        <v>1</v>
      </c>
      <c r="H1510" s="542">
        <v>0</v>
      </c>
      <c r="I1510" s="543">
        <v>0</v>
      </c>
      <c r="J1510" s="542">
        <v>1</v>
      </c>
      <c r="K1510" s="543">
        <v>0</v>
      </c>
      <c r="L1510" s="542">
        <v>0</v>
      </c>
      <c r="M1510" s="543">
        <v>1</v>
      </c>
      <c r="N1510" s="542">
        <v>0</v>
      </c>
    </row>
    <row r="1511" spans="1:14" ht="12.75">
      <c r="A1511" s="545">
        <v>1225</v>
      </c>
      <c r="B1511" s="543">
        <v>1</v>
      </c>
      <c r="C1511" s="542">
        <v>44</v>
      </c>
      <c r="D1511" s="543">
        <v>3.57</v>
      </c>
      <c r="E1511" s="542">
        <v>0</v>
      </c>
      <c r="F1511" s="543">
        <v>0</v>
      </c>
      <c r="G1511" s="542">
        <v>1</v>
      </c>
      <c r="H1511" s="543">
        <v>0</v>
      </c>
      <c r="I1511" s="542">
        <v>0</v>
      </c>
      <c r="J1511" s="543">
        <v>1</v>
      </c>
      <c r="K1511" s="542">
        <v>0</v>
      </c>
      <c r="L1511" s="543">
        <v>0</v>
      </c>
      <c r="M1511" s="542">
        <v>1</v>
      </c>
      <c r="N1511" s="546">
        <v>0</v>
      </c>
    </row>
    <row r="1512" spans="1:14" ht="12.75">
      <c r="A1512" s="541">
        <v>2329</v>
      </c>
      <c r="B1512" s="542">
        <v>0</v>
      </c>
      <c r="C1512" s="543">
        <v>49</v>
      </c>
      <c r="D1512" s="542">
        <v>1.94</v>
      </c>
      <c r="E1512" s="543">
        <v>0</v>
      </c>
      <c r="F1512" s="542">
        <v>0</v>
      </c>
      <c r="G1512" s="543">
        <v>1</v>
      </c>
      <c r="H1512" s="542">
        <v>0</v>
      </c>
      <c r="I1512" s="543">
        <v>0</v>
      </c>
      <c r="J1512" s="542">
        <v>1</v>
      </c>
      <c r="K1512" s="543">
        <v>0</v>
      </c>
      <c r="L1512" s="542">
        <v>1</v>
      </c>
      <c r="M1512" s="543">
        <v>0</v>
      </c>
      <c r="N1512" s="542">
        <v>0</v>
      </c>
    </row>
    <row r="1513" spans="1:14" ht="12.75">
      <c r="A1513" s="541">
        <v>2483</v>
      </c>
      <c r="B1513" s="542">
        <v>0</v>
      </c>
      <c r="C1513" s="543">
        <v>61</v>
      </c>
      <c r="D1513" s="542">
        <v>3.038</v>
      </c>
      <c r="E1513" s="543">
        <v>0</v>
      </c>
      <c r="F1513" s="542">
        <v>0</v>
      </c>
      <c r="G1513" s="543">
        <v>1</v>
      </c>
      <c r="H1513" s="542">
        <v>0</v>
      </c>
      <c r="I1513" s="543">
        <v>0</v>
      </c>
      <c r="J1513" s="542">
        <v>0</v>
      </c>
      <c r="K1513" s="543">
        <v>1</v>
      </c>
      <c r="L1513" s="542">
        <v>0</v>
      </c>
      <c r="M1513" s="543">
        <v>0</v>
      </c>
      <c r="N1513" s="542">
        <v>1</v>
      </c>
    </row>
    <row r="1514" spans="1:14" ht="12.75">
      <c r="A1514" s="541">
        <v>2722</v>
      </c>
      <c r="B1514" s="542">
        <v>1</v>
      </c>
      <c r="C1514" s="543">
        <v>45</v>
      </c>
      <c r="D1514" s="542">
        <v>2.29</v>
      </c>
      <c r="E1514" s="543">
        <v>0</v>
      </c>
      <c r="F1514" s="542">
        <v>0</v>
      </c>
      <c r="G1514" s="543">
        <v>1</v>
      </c>
      <c r="H1514" s="542">
        <v>0</v>
      </c>
      <c r="I1514" s="543">
        <v>0</v>
      </c>
      <c r="J1514" s="542">
        <v>1</v>
      </c>
      <c r="K1514" s="543">
        <v>0</v>
      </c>
      <c r="L1514" s="542">
        <v>1</v>
      </c>
      <c r="M1514" s="543">
        <v>0</v>
      </c>
      <c r="N1514" s="542">
        <v>0</v>
      </c>
    </row>
    <row r="1515" spans="1:14" ht="12.75">
      <c r="A1515" s="541">
        <v>2740</v>
      </c>
      <c r="B1515" s="542">
        <v>0</v>
      </c>
      <c r="C1515" s="543">
        <v>56</v>
      </c>
      <c r="D1515" s="542">
        <v>3.343</v>
      </c>
      <c r="E1515" s="543">
        <v>0</v>
      </c>
      <c r="F1515" s="542">
        <v>0</v>
      </c>
      <c r="G1515" s="543">
        <v>1</v>
      </c>
      <c r="H1515" s="542">
        <v>0</v>
      </c>
      <c r="I1515" s="543">
        <v>0</v>
      </c>
      <c r="J1515" s="542">
        <v>0</v>
      </c>
      <c r="K1515" s="543">
        <v>1</v>
      </c>
      <c r="L1515" s="542">
        <v>0</v>
      </c>
      <c r="M1515" s="543">
        <v>1</v>
      </c>
      <c r="N1515" s="542">
        <v>0</v>
      </c>
    </row>
    <row r="1516" spans="1:14" ht="12.75">
      <c r="A1516" s="541">
        <v>3207</v>
      </c>
      <c r="B1516" s="542">
        <v>0</v>
      </c>
      <c r="C1516" s="543">
        <v>55</v>
      </c>
      <c r="D1516" s="542">
        <v>3.178</v>
      </c>
      <c r="E1516" s="543">
        <v>0</v>
      </c>
      <c r="F1516" s="542">
        <v>0</v>
      </c>
      <c r="G1516" s="543">
        <v>1</v>
      </c>
      <c r="H1516" s="542">
        <v>0</v>
      </c>
      <c r="I1516" s="543">
        <v>0</v>
      </c>
      <c r="J1516" s="542">
        <v>0</v>
      </c>
      <c r="K1516" s="543">
        <v>1</v>
      </c>
      <c r="L1516" s="542">
        <v>0</v>
      </c>
      <c r="M1516" s="543">
        <v>0</v>
      </c>
      <c r="N1516" s="542">
        <v>1</v>
      </c>
    </row>
    <row r="1517" spans="1:14" ht="12.75">
      <c r="A1517" s="541">
        <v>3508</v>
      </c>
      <c r="B1517" s="542">
        <v>1</v>
      </c>
      <c r="C1517" s="543">
        <v>53</v>
      </c>
      <c r="D1517" s="542">
        <v>3.72</v>
      </c>
      <c r="E1517" s="543">
        <v>0</v>
      </c>
      <c r="F1517" s="542">
        <v>0</v>
      </c>
      <c r="G1517" s="543">
        <v>1</v>
      </c>
      <c r="H1517" s="542">
        <v>0</v>
      </c>
      <c r="I1517" s="543">
        <v>0</v>
      </c>
      <c r="J1517" s="542">
        <v>0</v>
      </c>
      <c r="K1517" s="543">
        <v>1</v>
      </c>
      <c r="L1517" s="542">
        <v>0</v>
      </c>
      <c r="M1517" s="543">
        <v>1</v>
      </c>
      <c r="N1517" s="542">
        <v>0</v>
      </c>
    </row>
    <row r="1518" spans="1:14" ht="13.5" thickBot="1">
      <c r="A1518" s="547">
        <v>3547</v>
      </c>
      <c r="B1518" s="548">
        <v>1</v>
      </c>
      <c r="C1518" s="549">
        <v>48</v>
      </c>
      <c r="D1518" s="548">
        <v>4.027</v>
      </c>
      <c r="E1518" s="549">
        <v>0</v>
      </c>
      <c r="F1518" s="548">
        <v>0</v>
      </c>
      <c r="G1518" s="549">
        <v>1</v>
      </c>
      <c r="H1518" s="548">
        <v>0</v>
      </c>
      <c r="I1518" s="549">
        <v>0</v>
      </c>
      <c r="J1518" s="548">
        <v>1</v>
      </c>
      <c r="K1518" s="549">
        <v>0</v>
      </c>
      <c r="L1518" s="548">
        <v>0</v>
      </c>
      <c r="M1518" s="549">
        <v>1</v>
      </c>
      <c r="N1518" s="548">
        <v>0</v>
      </c>
    </row>
    <row r="1519" spans="1:5" ht="12.75">
      <c r="A1519" s="13"/>
      <c r="E1519"/>
    </row>
    <row r="1520" spans="1:5" ht="12.75">
      <c r="A1520" s="13"/>
      <c r="E1520"/>
    </row>
    <row r="1521" spans="1:5" ht="12.75">
      <c r="A1521" s="13" t="s">
        <v>317</v>
      </c>
      <c r="E1521"/>
    </row>
    <row r="1522" spans="1:14" ht="12.75">
      <c r="A1522" s="281"/>
      <c r="B1522" s="128" t="s">
        <v>4</v>
      </c>
      <c r="C1522" s="59" t="s">
        <v>5</v>
      </c>
      <c r="D1522" s="128" t="s">
        <v>0</v>
      </c>
      <c r="E1522" s="669" t="s">
        <v>6</v>
      </c>
      <c r="F1522" s="653"/>
      <c r="G1522" s="653"/>
      <c r="H1522" s="654"/>
      <c r="I1522" s="669" t="s">
        <v>7</v>
      </c>
      <c r="J1522" s="653"/>
      <c r="K1522" s="654"/>
      <c r="L1522" s="669" t="s">
        <v>8</v>
      </c>
      <c r="M1522" s="653"/>
      <c r="N1522" s="654"/>
    </row>
    <row r="1523" spans="1:14" ht="13.5" thickBot="1">
      <c r="A1523" s="159" t="s">
        <v>2</v>
      </c>
      <c r="B1523" s="282" t="s">
        <v>9</v>
      </c>
      <c r="C1523" s="283" t="s">
        <v>10</v>
      </c>
      <c r="D1523" s="282" t="s">
        <v>11</v>
      </c>
      <c r="E1523" s="284" t="s">
        <v>12</v>
      </c>
      <c r="F1523" s="156" t="s">
        <v>13</v>
      </c>
      <c r="G1523" s="160" t="s">
        <v>14</v>
      </c>
      <c r="H1523" s="156" t="s">
        <v>15</v>
      </c>
      <c r="I1523" s="160" t="s">
        <v>16</v>
      </c>
      <c r="J1523" s="156" t="s">
        <v>17</v>
      </c>
      <c r="K1523" s="160" t="s">
        <v>18</v>
      </c>
      <c r="L1523" s="156" t="s">
        <v>19</v>
      </c>
      <c r="M1523" s="160" t="s">
        <v>20</v>
      </c>
      <c r="N1523" s="157" t="s">
        <v>21</v>
      </c>
    </row>
    <row r="1524" spans="1:14" ht="13.5" thickTop="1">
      <c r="A1524" s="541">
        <v>126</v>
      </c>
      <c r="B1524" s="542">
        <v>1</v>
      </c>
      <c r="C1524" s="543">
        <v>57</v>
      </c>
      <c r="D1524" s="542">
        <v>3.907</v>
      </c>
      <c r="E1524" s="543">
        <v>0</v>
      </c>
      <c r="F1524" s="542">
        <v>0</v>
      </c>
      <c r="G1524" s="543">
        <v>0</v>
      </c>
      <c r="H1524" s="542">
        <v>1</v>
      </c>
      <c r="I1524" s="543">
        <v>0</v>
      </c>
      <c r="J1524" s="542">
        <v>0</v>
      </c>
      <c r="K1524" s="543">
        <v>1</v>
      </c>
      <c r="L1524" s="542">
        <v>0</v>
      </c>
      <c r="M1524" s="543">
        <v>1</v>
      </c>
      <c r="N1524" s="542">
        <v>0</v>
      </c>
    </row>
    <row r="1525" spans="1:14" ht="12.75">
      <c r="A1525" s="541">
        <v>216</v>
      </c>
      <c r="B1525" s="542">
        <v>1</v>
      </c>
      <c r="C1525" s="543">
        <v>56</v>
      </c>
      <c r="D1525" s="542">
        <v>3.542</v>
      </c>
      <c r="E1525" s="543">
        <v>0</v>
      </c>
      <c r="F1525" s="542">
        <v>0</v>
      </c>
      <c r="G1525" s="543">
        <v>0</v>
      </c>
      <c r="H1525" s="542">
        <v>1</v>
      </c>
      <c r="I1525" s="543">
        <v>0</v>
      </c>
      <c r="J1525" s="542">
        <v>0</v>
      </c>
      <c r="K1525" s="543">
        <v>1</v>
      </c>
      <c r="L1525" s="542">
        <v>0</v>
      </c>
      <c r="M1525" s="543">
        <v>1</v>
      </c>
      <c r="N1525" s="542">
        <v>0</v>
      </c>
    </row>
    <row r="1526" spans="1:14" ht="12.75">
      <c r="A1526" s="541">
        <v>826</v>
      </c>
      <c r="B1526" s="542">
        <v>1</v>
      </c>
      <c r="C1526" s="543">
        <v>64</v>
      </c>
      <c r="D1526" s="542">
        <v>3.455</v>
      </c>
      <c r="E1526" s="543">
        <v>0</v>
      </c>
      <c r="F1526" s="542">
        <v>0</v>
      </c>
      <c r="G1526" s="543">
        <v>0</v>
      </c>
      <c r="H1526" s="542">
        <v>1</v>
      </c>
      <c r="I1526" s="543">
        <v>0</v>
      </c>
      <c r="J1526" s="542">
        <v>0</v>
      </c>
      <c r="K1526" s="543">
        <v>1</v>
      </c>
      <c r="L1526" s="542">
        <v>0</v>
      </c>
      <c r="M1526" s="543">
        <v>1</v>
      </c>
      <c r="N1526" s="542">
        <v>0</v>
      </c>
    </row>
    <row r="1527" spans="1:14" ht="12.75">
      <c r="A1527" s="541">
        <v>1500</v>
      </c>
      <c r="B1527" s="542">
        <v>0</v>
      </c>
      <c r="C1527" s="543">
        <v>57</v>
      </c>
      <c r="D1527" s="542">
        <v>3.764</v>
      </c>
      <c r="E1527" s="543">
        <v>0</v>
      </c>
      <c r="F1527" s="542">
        <v>0</v>
      </c>
      <c r="G1527" s="543">
        <v>0</v>
      </c>
      <c r="H1527" s="542">
        <v>1</v>
      </c>
      <c r="I1527" s="543">
        <v>0</v>
      </c>
      <c r="J1527" s="542">
        <v>0</v>
      </c>
      <c r="K1527" s="543">
        <v>1</v>
      </c>
      <c r="L1527" s="542">
        <v>0</v>
      </c>
      <c r="M1527" s="543">
        <v>1</v>
      </c>
      <c r="N1527" s="542">
        <v>0</v>
      </c>
    </row>
    <row r="1528" spans="1:14" ht="12.75">
      <c r="A1528" s="541">
        <v>2071</v>
      </c>
      <c r="B1528" s="542">
        <v>1</v>
      </c>
      <c r="C1528" s="543">
        <v>62</v>
      </c>
      <c r="D1528" s="542">
        <v>4.071</v>
      </c>
      <c r="E1528" s="543">
        <v>0</v>
      </c>
      <c r="F1528" s="542">
        <v>0</v>
      </c>
      <c r="G1528" s="543">
        <v>0</v>
      </c>
      <c r="H1528" s="542">
        <v>1</v>
      </c>
      <c r="I1528" s="543">
        <v>0</v>
      </c>
      <c r="J1528" s="542">
        <v>0</v>
      </c>
      <c r="K1528" s="543">
        <v>1</v>
      </c>
      <c r="L1528" s="542">
        <v>0</v>
      </c>
      <c r="M1528" s="543">
        <v>1</v>
      </c>
      <c r="N1528" s="542">
        <v>0</v>
      </c>
    </row>
    <row r="1529" spans="1:14" ht="12.75">
      <c r="A1529" s="541">
        <v>2356</v>
      </c>
      <c r="B1529" s="542">
        <v>1</v>
      </c>
      <c r="C1529" s="543">
        <v>56</v>
      </c>
      <c r="D1529" s="542">
        <v>3.981</v>
      </c>
      <c r="E1529" s="543">
        <v>0</v>
      </c>
      <c r="F1529" s="542">
        <v>0</v>
      </c>
      <c r="G1529" s="543">
        <v>0</v>
      </c>
      <c r="H1529" s="542">
        <v>1</v>
      </c>
      <c r="I1529" s="543">
        <v>0</v>
      </c>
      <c r="J1529" s="542">
        <v>0</v>
      </c>
      <c r="K1529" s="543">
        <v>1</v>
      </c>
      <c r="L1529" s="542">
        <v>0</v>
      </c>
      <c r="M1529" s="543">
        <v>1</v>
      </c>
      <c r="N1529" s="542">
        <v>0</v>
      </c>
    </row>
    <row r="1530" spans="1:14" ht="12.75">
      <c r="A1530" s="541">
        <v>2440</v>
      </c>
      <c r="B1530" s="542">
        <v>1</v>
      </c>
      <c r="C1530" s="543">
        <v>57</v>
      </c>
      <c r="D1530" s="542">
        <v>3.501</v>
      </c>
      <c r="E1530" s="543">
        <v>0</v>
      </c>
      <c r="F1530" s="542">
        <v>0</v>
      </c>
      <c r="G1530" s="543">
        <v>0</v>
      </c>
      <c r="H1530" s="542">
        <v>1</v>
      </c>
      <c r="I1530" s="543">
        <v>0</v>
      </c>
      <c r="J1530" s="542">
        <v>0</v>
      </c>
      <c r="K1530" s="543">
        <v>1</v>
      </c>
      <c r="L1530" s="542">
        <v>0</v>
      </c>
      <c r="M1530" s="543">
        <v>1</v>
      </c>
      <c r="N1530" s="542">
        <v>0</v>
      </c>
    </row>
    <row r="1531" spans="1:14" ht="12.75">
      <c r="A1531" s="541">
        <v>2791</v>
      </c>
      <c r="B1531" s="542">
        <v>1</v>
      </c>
      <c r="C1531" s="543">
        <v>55</v>
      </c>
      <c r="D1531" s="542">
        <v>3.413</v>
      </c>
      <c r="E1531" s="543">
        <v>0</v>
      </c>
      <c r="F1531" s="542">
        <v>0</v>
      </c>
      <c r="G1531" s="543">
        <v>0</v>
      </c>
      <c r="H1531" s="542">
        <v>1</v>
      </c>
      <c r="I1531" s="543">
        <v>0</v>
      </c>
      <c r="J1531" s="542">
        <v>0</v>
      </c>
      <c r="K1531" s="543">
        <v>1</v>
      </c>
      <c r="L1531" s="542">
        <v>0</v>
      </c>
      <c r="M1531" s="543">
        <v>1</v>
      </c>
      <c r="N1531" s="542">
        <v>0</v>
      </c>
    </row>
    <row r="1532" spans="1:14" ht="12.75">
      <c r="A1532" s="541">
        <v>3052</v>
      </c>
      <c r="B1532" s="542">
        <v>0</v>
      </c>
      <c r="C1532" s="543">
        <v>55</v>
      </c>
      <c r="D1532" s="542">
        <v>4.013</v>
      </c>
      <c r="E1532" s="543">
        <v>0</v>
      </c>
      <c r="F1532" s="542">
        <v>0</v>
      </c>
      <c r="G1532" s="543">
        <v>0</v>
      </c>
      <c r="H1532" s="542">
        <v>1</v>
      </c>
      <c r="I1532" s="543">
        <v>0</v>
      </c>
      <c r="J1532" s="542">
        <v>0</v>
      </c>
      <c r="K1532" s="543">
        <v>1</v>
      </c>
      <c r="L1532" s="542">
        <v>0</v>
      </c>
      <c r="M1532" s="543">
        <v>1</v>
      </c>
      <c r="N1532" s="542">
        <v>0</v>
      </c>
    </row>
    <row r="1533" spans="1:14" ht="12.75">
      <c r="A1533" s="545">
        <v>3087</v>
      </c>
      <c r="B1533" s="543">
        <v>0</v>
      </c>
      <c r="C1533" s="542">
        <v>57</v>
      </c>
      <c r="D1533" s="543">
        <v>4.248</v>
      </c>
      <c r="E1533" s="542">
        <v>0</v>
      </c>
      <c r="F1533" s="543">
        <v>0</v>
      </c>
      <c r="G1533" s="542">
        <v>0</v>
      </c>
      <c r="H1533" s="543">
        <v>1</v>
      </c>
      <c r="I1533" s="542">
        <v>0</v>
      </c>
      <c r="J1533" s="543">
        <v>0</v>
      </c>
      <c r="K1533" s="542">
        <v>1</v>
      </c>
      <c r="L1533" s="543">
        <v>0</v>
      </c>
      <c r="M1533" s="542">
        <v>1</v>
      </c>
      <c r="N1533" s="546">
        <v>0</v>
      </c>
    </row>
    <row r="1534" spans="1:14" ht="12.75">
      <c r="A1534" s="544">
        <v>3316</v>
      </c>
      <c r="B1534" s="123">
        <v>0</v>
      </c>
      <c r="C1534" s="124">
        <v>54</v>
      </c>
      <c r="D1534" s="310">
        <v>3.869</v>
      </c>
      <c r="E1534" s="145">
        <v>0</v>
      </c>
      <c r="F1534" s="161">
        <v>0</v>
      </c>
      <c r="G1534" s="145">
        <v>0</v>
      </c>
      <c r="H1534" s="161">
        <v>1</v>
      </c>
      <c r="I1534" s="124">
        <v>0</v>
      </c>
      <c r="J1534" s="123">
        <v>1</v>
      </c>
      <c r="K1534" s="124">
        <v>0</v>
      </c>
      <c r="L1534" s="123">
        <v>1</v>
      </c>
      <c r="M1534" s="124">
        <v>0</v>
      </c>
      <c r="N1534" s="123">
        <v>0</v>
      </c>
    </row>
    <row r="1535" spans="1:14" ht="13.5" thickBot="1">
      <c r="A1535" s="547">
        <v>4125</v>
      </c>
      <c r="B1535" s="548">
        <v>1</v>
      </c>
      <c r="C1535" s="549">
        <v>60</v>
      </c>
      <c r="D1535" s="548">
        <v>3.912</v>
      </c>
      <c r="E1535" s="549">
        <v>0</v>
      </c>
      <c r="F1535" s="548">
        <v>0</v>
      </c>
      <c r="G1535" s="549">
        <v>0</v>
      </c>
      <c r="H1535" s="548">
        <v>1</v>
      </c>
      <c r="I1535" s="549">
        <v>0</v>
      </c>
      <c r="J1535" s="548">
        <v>0</v>
      </c>
      <c r="K1535" s="549">
        <v>1</v>
      </c>
      <c r="L1535" s="548">
        <v>0</v>
      </c>
      <c r="M1535" s="549">
        <v>1</v>
      </c>
      <c r="N1535" s="548">
        <v>0</v>
      </c>
    </row>
    <row r="1539" ht="12.75">
      <c r="A1539" s="327" t="s">
        <v>260</v>
      </c>
    </row>
  </sheetData>
  <sheetProtection password="89E6" sheet="1" objects="1" scenarios="1"/>
  <mergeCells count="21">
    <mergeCell ref="E1461:H1461"/>
    <mergeCell ref="I1461:K1461"/>
    <mergeCell ref="L1461:N1461"/>
    <mergeCell ref="E1484:H1484"/>
    <mergeCell ref="I1484:K1484"/>
    <mergeCell ref="L1484:N1484"/>
    <mergeCell ref="E1503:H1503"/>
    <mergeCell ref="I1503:K1503"/>
    <mergeCell ref="L1503:N1503"/>
    <mergeCell ref="E1522:H1522"/>
    <mergeCell ref="I1522:K1522"/>
    <mergeCell ref="L1522:N1522"/>
    <mergeCell ref="B815:E815"/>
    <mergeCell ref="G815:J815"/>
    <mergeCell ref="J903:L903"/>
    <mergeCell ref="M903:O903"/>
    <mergeCell ref="F903:I903"/>
    <mergeCell ref="F1:I1"/>
    <mergeCell ref="J1:L1"/>
    <mergeCell ref="M1:O1"/>
    <mergeCell ref="F544:I544"/>
  </mergeCell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Apartamentos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Delfina Aguilar Leiva</dc:creator>
  <cp:keywords/>
  <dc:description/>
  <cp:lastModifiedBy>Instituto Tecnologico de Costa Rica</cp:lastModifiedBy>
  <dcterms:created xsi:type="dcterms:W3CDTF">2005-09-24T23:09:52Z</dcterms:created>
  <dcterms:modified xsi:type="dcterms:W3CDTF">2007-04-12T15:20:26Z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