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omments2.xml" ContentType="application/vnd.openxmlformats-officedocument.spreadsheetml.comments+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5.xml" ContentType="application/vnd.openxmlformats-officedocument.drawing+xml"/>
  <Override PartName="/xl/ctrlProps/ctrlProp4.xml" ContentType="application/vnd.ms-excel.controlproperties+xml"/>
  <Override PartName="/xl/ctrlProps/ctrlProp5.xml" ContentType="application/vnd.ms-excel.controlproperties+xml"/>
  <Override PartName="/xl/comments3.xml" ContentType="application/vnd.openxmlformats-officedocument.spreadsheetml.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6.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4.xml" ContentType="application/vnd.openxmlformats-officedocument.spreadsheetml.comments+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drawings/drawing7.xml" ContentType="application/vnd.openxmlformats-officedocument.drawing+xml"/>
  <Override PartName="/xl/ctrlProps/ctrlProp13.xml" ContentType="application/vnd.ms-excel.controlproperties+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drawings/drawing8.xml" ContentType="application/vnd.openxmlformats-officedocument.drawing+xml"/>
  <Override PartName="/xl/ctrlProps/ctrlProp14.xml" ContentType="application/vnd.ms-excel.controlproperties+xml"/>
  <Override PartName="/xl/comments5.xml" ContentType="application/vnd.openxmlformats-officedocument.spreadsheetml.comments+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drawings/drawing9.xml" ContentType="application/vnd.openxmlformats-officedocument.drawing+xml"/>
  <Override PartName="/xl/ctrlProps/ctrlProp15.xml" ContentType="application/vnd.ms-excel.controlproperties+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10.xml" ContentType="application/vnd.openxmlformats-officedocument.drawing+xml"/>
  <Override PartName="/xl/ctrlProps/ctrlProp16.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00000000-0000-0000-0000-000000000000}"/>
  <workbookPr codeName="ThisWorkbook" hidePivotFieldList="1"/>
  <mc:AlternateContent xmlns:mc="http://schemas.openxmlformats.org/markup-compatibility/2006">
    <mc:Choice Requires="x15">
      <x15ac:absPath xmlns:x15ac="http://schemas.microsoft.com/office/spreadsheetml/2010/11/ac" url="G:\Teletrabajo_2024\RepositorioTEC_2024\Recibidos_subir_Repositorio\Faltan_subir\Nueva carpeta\"/>
    </mc:Choice>
  </mc:AlternateContent>
  <xr:revisionPtr revIDLastSave="0" documentId="8_{B72139A2-A41D-4D15-B685-01829D6049A7}" xr6:coauthVersionLast="47" xr6:coauthVersionMax="47" xr10:uidLastSave="{00000000-0000-0000-0000-000000000000}"/>
  <bookViews>
    <workbookView xWindow="3855" yWindow="3855" windowWidth="21600" windowHeight="11385" xr2:uid="{00000000-000D-0000-FFFF-FFFF00000000}"/>
  </bookViews>
  <sheets>
    <sheet name="Portada" sheetId="12" r:id="rId1"/>
    <sheet name="Introducción" sheetId="11" r:id="rId2"/>
    <sheet name="Calculo Caudal o Tirante" sheetId="2" r:id="rId3"/>
    <sheet name="Transición" sheetId="1" r:id="rId4"/>
    <sheet name="Rápida" sheetId="4" r:id="rId5"/>
    <sheet name="Memoría de cálculo Rápida" sheetId="3" r:id="rId6"/>
    <sheet name="Caída" sheetId="5" r:id="rId7"/>
    <sheet name="Memoría de cálculo Desarenador" sheetId="6" r:id="rId8"/>
    <sheet name="Puente Canal" sheetId="7" r:id="rId9"/>
    <sheet name="Vertedero_Lateral" sheetId="8" r:id="rId10"/>
  </sheets>
  <definedNames>
    <definedName name="_xlnm._FilterDatabase" localSheetId="5" hidden="1">'Memoría de cálculo Rápida'!$B$224:$D$272</definedName>
    <definedName name="Curva">'Memoría de cálculo Rápida'!$P$155:$T$167</definedName>
    <definedName name="Curvas">'Memoría de cálculo Rápida'!$Q$155:$U$167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 i="7" l="1"/>
  <c r="C37" i="7" s="1"/>
  <c r="F44" i="7" s="1"/>
  <c r="D5" i="7"/>
  <c r="D4" i="7"/>
  <c r="D3" i="7"/>
  <c r="C45" i="7"/>
  <c r="F46" i="7" s="1"/>
  <c r="F45" i="7"/>
  <c r="L34" i="5"/>
  <c r="L35" i="5"/>
  <c r="L10" i="5"/>
  <c r="J11" i="5"/>
  <c r="J18" i="5"/>
  <c r="H4" i="8"/>
  <c r="H5" i="8"/>
  <c r="H6" i="8"/>
  <c r="H7" i="8"/>
  <c r="E15" i="8"/>
  <c r="E9" i="8"/>
  <c r="E31" i="6"/>
  <c r="B45" i="5"/>
  <c r="B44" i="5"/>
  <c r="B33" i="5"/>
  <c r="B32" i="5"/>
  <c r="L46" i="1"/>
  <c r="N44" i="1"/>
  <c r="N45" i="1"/>
  <c r="D45" i="1"/>
  <c r="F19" i="2"/>
  <c r="D6" i="7"/>
  <c r="D4" i="1"/>
  <c r="D9" i="1" l="1"/>
  <c r="K31" i="1" l="1"/>
  <c r="J36" i="1"/>
  <c r="N16" i="1" l="1"/>
  <c r="I36" i="1" l="1"/>
  <c r="I55" i="1" l="1"/>
  <c r="I48" i="1" s="1"/>
  <c r="I52" i="1"/>
  <c r="I51" i="1" s="1"/>
  <c r="D9" i="6"/>
  <c r="D7" i="7"/>
  <c r="D80" i="8" l="1"/>
  <c r="D81" i="8" s="1"/>
  <c r="E77" i="8" l="1"/>
  <c r="E76" i="8"/>
  <c r="C78" i="8"/>
  <c r="C80" i="8" s="1"/>
  <c r="E72" i="8"/>
  <c r="E73" i="8" s="1"/>
  <c r="D71" i="8"/>
  <c r="D76" i="8"/>
  <c r="D77" i="8" s="1"/>
  <c r="D79" i="8" s="1"/>
  <c r="C72" i="8"/>
  <c r="C77" i="8" s="1"/>
  <c r="C86" i="8" s="1"/>
  <c r="C91" i="8" s="1"/>
  <c r="B13" i="8"/>
  <c r="P26" i="8"/>
  <c r="P27" i="8" s="1"/>
  <c r="P28" i="8" s="1"/>
  <c r="P29" i="8" s="1"/>
  <c r="P30" i="8" s="1"/>
  <c r="P31" i="8" s="1"/>
  <c r="P32" i="8" s="1"/>
  <c r="P33" i="8" s="1"/>
  <c r="P34" i="8" s="1"/>
  <c r="P35" i="8" s="1"/>
  <c r="P36" i="8" s="1"/>
  <c r="P37" i="8" s="1"/>
  <c r="P38" i="8" s="1"/>
  <c r="A26" i="8"/>
  <c r="C26" i="8" s="1"/>
  <c r="B10" i="8"/>
  <c r="B9" i="8"/>
  <c r="E7" i="8"/>
  <c r="E6" i="8"/>
  <c r="E5" i="8"/>
  <c r="E4" i="8"/>
  <c r="P39" i="8" l="1"/>
  <c r="P40" i="8" s="1"/>
  <c r="P41" i="8" s="1"/>
  <c r="P42" i="8" s="1"/>
  <c r="P43" i="8" s="1"/>
  <c r="P44" i="8" s="1"/>
  <c r="P45" i="8" s="1"/>
  <c r="P46" i="8" s="1"/>
  <c r="P47" i="8" s="1"/>
  <c r="P48" i="8" s="1"/>
  <c r="P49" i="8" s="1"/>
  <c r="P50" i="8" s="1"/>
  <c r="P51" i="8" s="1"/>
  <c r="P52" i="8" s="1"/>
  <c r="P53" i="8" s="1"/>
  <c r="P54" i="8" s="1"/>
  <c r="P55" i="8" s="1"/>
  <c r="P56" i="8" s="1"/>
  <c r="P57" i="8" s="1"/>
  <c r="P58" i="8" s="1"/>
  <c r="P59" i="8" s="1"/>
  <c r="P60" i="8" s="1"/>
  <c r="P61" i="8" s="1"/>
  <c r="B14" i="8"/>
  <c r="C71" i="8" s="1"/>
  <c r="C74" i="8" s="1"/>
  <c r="C75" i="8" s="1"/>
  <c r="C88" i="8" s="1"/>
  <c r="C89" i="8" s="1"/>
  <c r="H8" i="8"/>
  <c r="J26" i="8"/>
  <c r="L26" i="8" s="1"/>
  <c r="C85" i="8"/>
  <c r="C83" i="8" s="1"/>
  <c r="E71" i="8"/>
  <c r="E74" i="8" s="1"/>
  <c r="E78" i="8"/>
  <c r="C81" i="8"/>
  <c r="C82" i="8" s="1"/>
  <c r="E75" i="8"/>
  <c r="E79" i="8" s="1"/>
  <c r="C73" i="8"/>
  <c r="C76" i="8" s="1"/>
  <c r="C87" i="8" s="1"/>
  <c r="C90" i="8" s="1"/>
  <c r="D72" i="8"/>
  <c r="D73" i="8" s="1"/>
  <c r="D74" i="8" s="1"/>
  <c r="Q26" i="8"/>
  <c r="Q27" i="8" s="1"/>
  <c r="Q28" i="8" s="1"/>
  <c r="Q29" i="8" s="1"/>
  <c r="Q30" i="8" s="1"/>
  <c r="Q31" i="8" s="1"/>
  <c r="Q32" i="8" s="1"/>
  <c r="Q33" i="8" s="1"/>
  <c r="Q34" i="8" s="1"/>
  <c r="Q35" i="8" s="1"/>
  <c r="Q36" i="8" s="1"/>
  <c r="Q37" i="8" s="1"/>
  <c r="Q38" i="8" s="1"/>
  <c r="H26" i="8"/>
  <c r="E11" i="8"/>
  <c r="E10" i="8"/>
  <c r="B11" i="8"/>
  <c r="B12" i="8" s="1"/>
  <c r="Q39" i="8" l="1"/>
  <c r="Q40" i="8" s="1"/>
  <c r="Q41" i="8" s="1"/>
  <c r="Q42" i="8" s="1"/>
  <c r="Q43" i="8" s="1"/>
  <c r="Q44" i="8" s="1"/>
  <c r="Q45" i="8" s="1"/>
  <c r="Q46" i="8" s="1"/>
  <c r="Q47" i="8" s="1"/>
  <c r="Q48" i="8" s="1"/>
  <c r="Q49" i="8" s="1"/>
  <c r="Q50" i="8" s="1"/>
  <c r="Q51" i="8" s="1"/>
  <c r="Q52" i="8" s="1"/>
  <c r="Q53" i="8" s="1"/>
  <c r="Q54" i="8" s="1"/>
  <c r="Q55" i="8" s="1"/>
  <c r="Q56" i="8" s="1"/>
  <c r="Q57" i="8" s="1"/>
  <c r="Q58" i="8" s="1"/>
  <c r="Q59" i="8" s="1"/>
  <c r="Q60" i="8" s="1"/>
  <c r="Q61" i="8" s="1"/>
  <c r="E22" i="8" s="1"/>
  <c r="D84" i="8" s="1"/>
  <c r="D85" i="8" s="1"/>
  <c r="D83" i="8" s="1"/>
  <c r="D82" i="8" s="1"/>
  <c r="C79" i="8"/>
  <c r="C84" i="8" s="1"/>
  <c r="C92" i="8" s="1"/>
  <c r="H9" i="8"/>
  <c r="H10" i="8"/>
  <c r="D26" i="8"/>
  <c r="E26" i="8"/>
  <c r="E80" i="8"/>
  <c r="E81" i="8" s="1"/>
  <c r="E82" i="8" s="1"/>
  <c r="E12" i="8"/>
  <c r="E13" i="8" s="1"/>
  <c r="B26" i="8" s="1"/>
  <c r="I26" i="8" s="1"/>
  <c r="K26" i="8" s="1"/>
  <c r="E86" i="8" l="1"/>
  <c r="E87" i="8" s="1"/>
  <c r="E85" i="8"/>
  <c r="E83" i="8" s="1"/>
  <c r="E84" i="8"/>
  <c r="E88" i="8" s="1"/>
  <c r="E89" i="8" s="1"/>
  <c r="E92" i="8" s="1"/>
  <c r="D86" i="8"/>
  <c r="D87" i="8" s="1"/>
  <c r="D88" i="8" s="1"/>
  <c r="D89" i="8" s="1"/>
  <c r="D90" i="8" s="1"/>
  <c r="D91" i="8" s="1"/>
  <c r="D92" i="8" s="1"/>
  <c r="H11" i="8"/>
  <c r="H12" i="8" s="1"/>
  <c r="H13" i="8" s="1"/>
  <c r="F26" i="8"/>
  <c r="G26" i="8" s="1"/>
  <c r="E14" i="8"/>
  <c r="M26" i="8"/>
  <c r="E90" i="8" l="1"/>
  <c r="E91" i="8" s="1"/>
  <c r="J72" i="8" s="1"/>
  <c r="J73" i="8" s="1"/>
  <c r="B27" i="8"/>
  <c r="N26" i="8"/>
  <c r="O26" i="8" s="1"/>
  <c r="A27" i="8" s="1"/>
  <c r="C27" i="8" s="1"/>
  <c r="D27" i="8" s="1"/>
  <c r="H27" i="8" l="1"/>
  <c r="I27" i="8" s="1"/>
  <c r="J27" i="8"/>
  <c r="L27" i="8" s="1"/>
  <c r="E27" i="8"/>
  <c r="F27" i="8" s="1"/>
  <c r="G27" i="8" s="1"/>
  <c r="K27" i="8" l="1"/>
  <c r="M27" i="8" s="1"/>
  <c r="N27" i="8" s="1"/>
  <c r="O27" i="8" s="1"/>
  <c r="A28" i="8" s="1"/>
  <c r="H28" i="8" s="1"/>
  <c r="B28" i="8"/>
  <c r="I28" i="8" l="1"/>
  <c r="C28" i="8"/>
  <c r="D28" i="8" s="1"/>
  <c r="J28" i="8"/>
  <c r="L28" i="8" s="1"/>
  <c r="E28" i="8" l="1"/>
  <c r="F28" i="8" s="1"/>
  <c r="K28" i="8"/>
  <c r="M28" i="8" s="1"/>
  <c r="G28" i="8" l="1"/>
  <c r="B29" i="8"/>
  <c r="N28" i="8" l="1"/>
  <c r="O28" i="8" s="1"/>
  <c r="A29" i="8" s="1"/>
  <c r="C29" i="8" s="1"/>
  <c r="D29" i="8" s="1"/>
  <c r="E29" i="8" l="1"/>
  <c r="F29" i="8" s="1"/>
  <c r="H29" i="8"/>
  <c r="I29" i="8" s="1"/>
  <c r="J29" i="8"/>
  <c r="L29" i="8" s="1"/>
  <c r="K29" i="8" l="1"/>
  <c r="M29" i="8" s="1"/>
  <c r="B30" i="8"/>
  <c r="G29" i="8"/>
  <c r="N29" i="8" l="1"/>
  <c r="O29" i="8" s="1"/>
  <c r="A30" i="8" s="1"/>
  <c r="H30" i="8" s="1"/>
  <c r="I30" i="8" s="1"/>
  <c r="C30" i="8" l="1"/>
  <c r="D30" i="8" s="1"/>
  <c r="J30" i="8"/>
  <c r="L30" i="8" s="1"/>
  <c r="K30" i="8" l="1"/>
  <c r="M30" i="8" s="1"/>
  <c r="E30" i="8"/>
  <c r="F30" i="8" s="1"/>
  <c r="G30" i="8" l="1"/>
  <c r="N30" i="8" s="1"/>
  <c r="O30" i="8" s="1"/>
  <c r="A31" i="8" s="1"/>
  <c r="B31" i="8"/>
  <c r="H31" i="8" l="1"/>
  <c r="I31" i="8" s="1"/>
  <c r="C31" i="8"/>
  <c r="J31" i="8"/>
  <c r="L31" i="8" s="1"/>
  <c r="K31" i="8" l="1"/>
  <c r="M31" i="8" s="1"/>
  <c r="D31" i="8"/>
  <c r="E31" i="8"/>
  <c r="F31" i="8" l="1"/>
  <c r="G31" i="8" l="1"/>
  <c r="N31" i="8" s="1"/>
  <c r="O31" i="8" s="1"/>
  <c r="A32" i="8" s="1"/>
  <c r="B32" i="8"/>
  <c r="H32" i="8" l="1"/>
  <c r="I32" i="8" s="1"/>
  <c r="C32" i="8"/>
  <c r="J32" i="8"/>
  <c r="L32" i="8" s="1"/>
  <c r="K32" i="8" l="1"/>
  <c r="M32" i="8" s="1"/>
  <c r="D32" i="8"/>
  <c r="E32" i="8"/>
  <c r="F32" i="8" l="1"/>
  <c r="G32" i="8" l="1"/>
  <c r="N32" i="8" s="1"/>
  <c r="O32" i="8" s="1"/>
  <c r="A33" i="8" s="1"/>
  <c r="B33" i="8"/>
  <c r="J33" i="8" l="1"/>
  <c r="L33" i="8" s="1"/>
  <c r="C33" i="8"/>
  <c r="H33" i="8"/>
  <c r="I33" i="8" s="1"/>
  <c r="K33" i="8" l="1"/>
  <c r="M33" i="8" s="1"/>
  <c r="D33" i="8"/>
  <c r="E33" i="8"/>
  <c r="F33" i="8" l="1"/>
  <c r="I38" i="7"/>
  <c r="B54" i="7"/>
  <c r="C38" i="7"/>
  <c r="C39" i="7" s="1"/>
  <c r="C40" i="7" s="1"/>
  <c r="B38" i="7"/>
  <c r="J26" i="7"/>
  <c r="F26" i="7"/>
  <c r="B26" i="7"/>
  <c r="D42" i="7" s="1"/>
  <c r="D43" i="7" s="1"/>
  <c r="B25" i="7"/>
  <c r="B20" i="7"/>
  <c r="B19" i="7"/>
  <c r="B18" i="7"/>
  <c r="B22" i="7" s="1"/>
  <c r="B39" i="7" l="1"/>
  <c r="I44" i="7"/>
  <c r="B59" i="7"/>
  <c r="I49" i="7" s="1"/>
  <c r="I48" i="7"/>
  <c r="B27" i="7"/>
  <c r="G33" i="8"/>
  <c r="N33" i="8" s="1"/>
  <c r="O33" i="8" s="1"/>
  <c r="A34" i="8" s="1"/>
  <c r="B34" i="8"/>
  <c r="B55" i="7"/>
  <c r="B43" i="7"/>
  <c r="I45" i="7" s="1"/>
  <c r="B24" i="7"/>
  <c r="B23" i="7"/>
  <c r="B21" i="7"/>
  <c r="B45" i="7"/>
  <c r="J46" i="7" s="1"/>
  <c r="B46" i="7"/>
  <c r="B47" i="7"/>
  <c r="F19" i="7"/>
  <c r="F23" i="7" s="1"/>
  <c r="F25" i="7" s="1"/>
  <c r="F20" i="7"/>
  <c r="F21" i="7"/>
  <c r="J21" i="7"/>
  <c r="J20" i="7"/>
  <c r="J19" i="7"/>
  <c r="N25" i="7"/>
  <c r="N19" i="7"/>
  <c r="C31" i="7" s="1"/>
  <c r="N20" i="7"/>
  <c r="N18" i="7"/>
  <c r="N22" i="7" s="1"/>
  <c r="N27" i="7" l="1"/>
  <c r="D41" i="7"/>
  <c r="B58" i="7"/>
  <c r="H49" i="7" s="1"/>
  <c r="H48" i="7"/>
  <c r="B42" i="7"/>
  <c r="H45" i="7" s="1"/>
  <c r="H44" i="7"/>
  <c r="B50" i="7"/>
  <c r="H47" i="7" s="1"/>
  <c r="H46" i="7"/>
  <c r="B51" i="7"/>
  <c r="I47" i="7" s="1"/>
  <c r="I46" i="7"/>
  <c r="F27" i="7"/>
  <c r="J27" i="7" s="1"/>
  <c r="B28" i="7"/>
  <c r="B37" i="7" s="1"/>
  <c r="D44" i="7"/>
  <c r="C34" i="8"/>
  <c r="H34" i="8"/>
  <c r="I34" i="8" s="1"/>
  <c r="J34" i="8"/>
  <c r="L34" i="8" s="1"/>
  <c r="B52" i="7"/>
  <c r="J47" i="7" s="1"/>
  <c r="B48" i="7"/>
  <c r="N24" i="7"/>
  <c r="F24" i="7"/>
  <c r="F22" i="7"/>
  <c r="J23" i="7"/>
  <c r="I39" i="7" s="1"/>
  <c r="J22" i="7"/>
  <c r="N23" i="7"/>
  <c r="N21" i="7"/>
  <c r="M5" i="6"/>
  <c r="B40" i="7" l="1"/>
  <c r="J44" i="7"/>
  <c r="B49" i="7"/>
  <c r="G47" i="7" s="1"/>
  <c r="G46" i="7"/>
  <c r="B44" i="7"/>
  <c r="J45" i="7" s="1"/>
  <c r="K34" i="8"/>
  <c r="M34" i="8" s="1"/>
  <c r="D34" i="8"/>
  <c r="E34" i="8"/>
  <c r="C46" i="7"/>
  <c r="C49" i="7"/>
  <c r="F47" i="7" s="1"/>
  <c r="D47" i="7"/>
  <c r="D46" i="7"/>
  <c r="J24" i="7"/>
  <c r="J25" i="7"/>
  <c r="L11" i="6"/>
  <c r="C70" i="6"/>
  <c r="C73" i="6" s="1"/>
  <c r="D8" i="6"/>
  <c r="F63" i="6"/>
  <c r="F62" i="6"/>
  <c r="F65" i="6" s="1"/>
  <c r="E32" i="6"/>
  <c r="E30" i="6"/>
  <c r="Q28" i="6"/>
  <c r="Q29" i="6"/>
  <c r="Q30" i="6"/>
  <c r="Q31" i="6"/>
  <c r="Q32" i="6"/>
  <c r="Q33" i="6"/>
  <c r="Q34" i="6"/>
  <c r="Q35" i="6"/>
  <c r="Q36" i="6"/>
  <c r="Q37" i="6"/>
  <c r="Q38" i="6"/>
  <c r="Q39" i="6"/>
  <c r="Q40" i="6"/>
  <c r="Q41" i="6"/>
  <c r="Q42" i="6"/>
  <c r="Q43" i="6"/>
  <c r="Q44" i="6"/>
  <c r="Q27" i="6"/>
  <c r="E29" i="6"/>
  <c r="C24" i="6"/>
  <c r="C25" i="6" s="1"/>
  <c r="C50" i="6" s="1"/>
  <c r="C60" i="6" s="1"/>
  <c r="D20" i="6"/>
  <c r="C20" i="6"/>
  <c r="D5" i="6"/>
  <c r="B41" i="7" l="1"/>
  <c r="G45" i="7" s="1"/>
  <c r="G44" i="7"/>
  <c r="F34" i="8"/>
  <c r="G34" i="8" s="1"/>
  <c r="N34" i="8" s="1"/>
  <c r="O34" i="8" s="1"/>
  <c r="A35" i="8" s="1"/>
  <c r="D51" i="7"/>
  <c r="D50" i="7"/>
  <c r="N26" i="7"/>
  <c r="J28" i="7" s="1"/>
  <c r="F28" i="7" s="1"/>
  <c r="D48" i="7" s="1"/>
  <c r="C47" i="7"/>
  <c r="C50" i="7"/>
  <c r="E33" i="6"/>
  <c r="E34" i="6" s="1"/>
  <c r="C54" i="6" s="1"/>
  <c r="C55" i="6" s="1"/>
  <c r="C74" i="6"/>
  <c r="C71" i="6"/>
  <c r="C62" i="6"/>
  <c r="F64" i="6"/>
  <c r="C26" i="6"/>
  <c r="G50" i="6"/>
  <c r="F28" i="4"/>
  <c r="F27" i="4"/>
  <c r="F26" i="4"/>
  <c r="F25" i="4"/>
  <c r="B35" i="8" l="1"/>
  <c r="C35" i="8"/>
  <c r="H35" i="8"/>
  <c r="J35" i="8"/>
  <c r="L35" i="8" s="1"/>
  <c r="D45" i="7"/>
  <c r="D55" i="7"/>
  <c r="D59" i="7" s="1"/>
  <c r="I37" i="7" s="1"/>
  <c r="D54" i="7"/>
  <c r="D58" i="7" s="1"/>
  <c r="D49" i="7"/>
  <c r="D52" i="7"/>
  <c r="C48" i="7"/>
  <c r="C52" i="7" s="1"/>
  <c r="C53" i="7" s="1"/>
  <c r="F48" i="7" s="1"/>
  <c r="C51" i="7"/>
  <c r="C51" i="6"/>
  <c r="C56" i="6" s="1"/>
  <c r="C57" i="6" s="1"/>
  <c r="G54" i="6"/>
  <c r="G55" i="6"/>
  <c r="D4" i="5"/>
  <c r="N32" i="5"/>
  <c r="N31" i="5"/>
  <c r="C33" i="5" s="1"/>
  <c r="N27" i="5"/>
  <c r="D21" i="5"/>
  <c r="L54" i="5" s="1"/>
  <c r="L61" i="5" s="1"/>
  <c r="C21" i="5"/>
  <c r="L26" i="5" s="1"/>
  <c r="L55" i="5"/>
  <c r="L56" i="5" s="1"/>
  <c r="L9" i="5"/>
  <c r="L27" i="5"/>
  <c r="C23" i="5"/>
  <c r="T7" i="5"/>
  <c r="R11" i="5"/>
  <c r="T6" i="5" s="1"/>
  <c r="R10" i="5"/>
  <c r="R9" i="5"/>
  <c r="J7" i="5"/>
  <c r="M34" i="5" l="1"/>
  <c r="B34" i="5" s="1"/>
  <c r="J10" i="5"/>
  <c r="L36" i="5"/>
  <c r="L39" i="5" s="1"/>
  <c r="L44" i="5" s="1"/>
  <c r="L47" i="5" s="1"/>
  <c r="L52" i="5" s="1"/>
  <c r="D46" i="5"/>
  <c r="E46" i="5" s="1"/>
  <c r="L41" i="5"/>
  <c r="C46" i="5"/>
  <c r="F46" i="5" s="1"/>
  <c r="L59" i="5"/>
  <c r="D52" i="5" s="1"/>
  <c r="E52" i="5" s="1"/>
  <c r="D51" i="5"/>
  <c r="E51" i="5" s="1"/>
  <c r="L28" i="5"/>
  <c r="L31" i="5" s="1"/>
  <c r="D44" i="5"/>
  <c r="E44" i="5" s="1"/>
  <c r="L33" i="5"/>
  <c r="C45" i="5" s="1"/>
  <c r="F45" i="5" s="1"/>
  <c r="C44" i="5"/>
  <c r="F44" i="5" s="1"/>
  <c r="N28" i="5"/>
  <c r="C32" i="5"/>
  <c r="I35" i="8"/>
  <c r="K35" i="8" s="1"/>
  <c r="M35" i="8" s="1"/>
  <c r="L60" i="5"/>
  <c r="L32" i="5"/>
  <c r="D45" i="5" s="1"/>
  <c r="E45" i="5" s="1"/>
  <c r="L37" i="5"/>
  <c r="L38" i="5" s="1"/>
  <c r="L45" i="5" s="1"/>
  <c r="L46" i="5" s="1"/>
  <c r="L53" i="5" s="1"/>
  <c r="L40" i="5"/>
  <c r="G56" i="6"/>
  <c r="G51" i="6" s="1"/>
  <c r="D35" i="8"/>
  <c r="E35" i="8"/>
  <c r="C57" i="7"/>
  <c r="F49" i="7" s="1"/>
  <c r="C54" i="7"/>
  <c r="N28" i="7"/>
  <c r="B53" i="7" s="1"/>
  <c r="J48" i="7" s="1"/>
  <c r="D53" i="7"/>
  <c r="D56" i="7"/>
  <c r="L57" i="5"/>
  <c r="L29" i="5"/>
  <c r="L30" i="5" s="1"/>
  <c r="J17" i="5"/>
  <c r="J14" i="5"/>
  <c r="R6" i="5" s="1"/>
  <c r="J15" i="5"/>
  <c r="J16" i="5"/>
  <c r="J21" i="5" s="1"/>
  <c r="B46" i="5" l="1"/>
  <c r="N35" i="5"/>
  <c r="N36" i="5" s="1"/>
  <c r="N39" i="5" s="1"/>
  <c r="C35" i="5" s="1"/>
  <c r="M35" i="5"/>
  <c r="M36" i="5" s="1"/>
  <c r="M37" i="5" s="1"/>
  <c r="M38" i="5" s="1"/>
  <c r="B35" i="5" s="1"/>
  <c r="L58" i="5"/>
  <c r="C52" i="5" s="1"/>
  <c r="F52" i="5" s="1"/>
  <c r="C51" i="5"/>
  <c r="F51" i="5" s="1"/>
  <c r="L43" i="5"/>
  <c r="D47" i="5"/>
  <c r="E47" i="5" s="1"/>
  <c r="L42" i="5"/>
  <c r="C47" i="5"/>
  <c r="F47" i="5" s="1"/>
  <c r="F35" i="8"/>
  <c r="G35" i="8" s="1"/>
  <c r="N35" i="8" s="1"/>
  <c r="O35" i="8" s="1"/>
  <c r="A36" i="8" s="1"/>
  <c r="D57" i="7"/>
  <c r="D60" i="7"/>
  <c r="B56" i="7"/>
  <c r="B60" i="7"/>
  <c r="J49" i="7" s="1"/>
  <c r="C55" i="7"/>
  <c r="C58" i="7"/>
  <c r="R8" i="5"/>
  <c r="R7" i="5"/>
  <c r="J19" i="5"/>
  <c r="J20" i="5" s="1"/>
  <c r="B57" i="7" l="1"/>
  <c r="G49" i="7" s="1"/>
  <c r="G48" i="7"/>
  <c r="C34" i="5"/>
  <c r="M39" i="5"/>
  <c r="M40" i="5" s="1"/>
  <c r="M41" i="5" s="1"/>
  <c r="M42" i="5" s="1"/>
  <c r="B36" i="5" s="1"/>
  <c r="B47" i="5"/>
  <c r="N38" i="5"/>
  <c r="D35" i="5" s="1"/>
  <c r="N40" i="5"/>
  <c r="N43" i="5" s="1"/>
  <c r="C36" i="5" s="1"/>
  <c r="L48" i="5"/>
  <c r="D48" i="5"/>
  <c r="E48" i="5" s="1"/>
  <c r="L49" i="5"/>
  <c r="C48" i="5"/>
  <c r="F48" i="5" s="1"/>
  <c r="B36" i="8"/>
  <c r="C36" i="8"/>
  <c r="J36" i="8"/>
  <c r="L36" i="8" s="1"/>
  <c r="H36" i="8"/>
  <c r="C56" i="7"/>
  <c r="C59" i="7"/>
  <c r="F7" i="2"/>
  <c r="F23" i="2" s="1"/>
  <c r="B48" i="5" l="1"/>
  <c r="M43" i="5"/>
  <c r="M44" i="5" s="1"/>
  <c r="M45" i="5" s="1"/>
  <c r="M46" i="5" s="1"/>
  <c r="M47" i="5" s="1"/>
  <c r="M48" i="5" s="1"/>
  <c r="M49" i="5" s="1"/>
  <c r="M50" i="5" s="1"/>
  <c r="M51" i="5" s="1"/>
  <c r="M52" i="5" s="1"/>
  <c r="M53" i="5" s="1"/>
  <c r="M54" i="5" s="1"/>
  <c r="N41" i="5"/>
  <c r="N42" i="5" s="1"/>
  <c r="N45" i="5" s="1"/>
  <c r="N37" i="5"/>
  <c r="N34" i="5" s="1"/>
  <c r="N33" i="5" s="1"/>
  <c r="N30" i="5" s="1"/>
  <c r="N44" i="5"/>
  <c r="N47" i="5" s="1"/>
  <c r="N48" i="5" s="1"/>
  <c r="N51" i="5" s="1"/>
  <c r="L51" i="5"/>
  <c r="D50" i="5" s="1"/>
  <c r="E50" i="5" s="1"/>
  <c r="D49" i="5"/>
  <c r="E49" i="5" s="1"/>
  <c r="L50" i="5"/>
  <c r="C50" i="5" s="1"/>
  <c r="F50" i="5" s="1"/>
  <c r="C49" i="5"/>
  <c r="F49" i="5" s="1"/>
  <c r="I36" i="8"/>
  <c r="K36" i="8" s="1"/>
  <c r="M36" i="8" s="1"/>
  <c r="D36" i="8"/>
  <c r="E36" i="8"/>
  <c r="C60" i="7"/>
  <c r="D38" i="7"/>
  <c r="D39" i="7"/>
  <c r="D37" i="7"/>
  <c r="D40" i="7"/>
  <c r="F24" i="2"/>
  <c r="F20" i="2" s="1"/>
  <c r="B37" i="5" l="1"/>
  <c r="B49" i="5"/>
  <c r="D36" i="5"/>
  <c r="D34" i="5"/>
  <c r="C37" i="5"/>
  <c r="B50" i="5"/>
  <c r="B38" i="5"/>
  <c r="N29" i="5"/>
  <c r="N26" i="5" s="1"/>
  <c r="D32" i="5" s="1"/>
  <c r="D33" i="5"/>
  <c r="M55" i="5"/>
  <c r="M56" i="5" s="1"/>
  <c r="M57" i="5" s="1"/>
  <c r="M58" i="5" s="1"/>
  <c r="B39" i="5"/>
  <c r="B51" i="5"/>
  <c r="N52" i="5"/>
  <c r="N55" i="5" s="1"/>
  <c r="C38" i="5"/>
  <c r="F36" i="8"/>
  <c r="D88" i="4"/>
  <c r="N54" i="5" l="1"/>
  <c r="C39" i="5"/>
  <c r="N56" i="5"/>
  <c r="N59" i="5" s="1"/>
  <c r="M59" i="5"/>
  <c r="M60" i="5" s="1"/>
  <c r="M61" i="5" s="1"/>
  <c r="B52" i="5"/>
  <c r="B40" i="5"/>
  <c r="G36" i="8"/>
  <c r="N36" i="8" s="1"/>
  <c r="O36" i="8" s="1"/>
  <c r="A37" i="8" s="1"/>
  <c r="B37" i="8"/>
  <c r="L92" i="4"/>
  <c r="H133" i="4"/>
  <c r="H89" i="4"/>
  <c r="E88" i="4"/>
  <c r="F88" i="4"/>
  <c r="G88" i="4"/>
  <c r="N58" i="5" l="1"/>
  <c r="C40" i="5"/>
  <c r="N60" i="5"/>
  <c r="D39" i="5"/>
  <c r="N53" i="5"/>
  <c r="N50" i="5" s="1"/>
  <c r="N57" i="5"/>
  <c r="J71" i="8"/>
  <c r="H37" i="8"/>
  <c r="I37" i="8" s="1"/>
  <c r="C37" i="8"/>
  <c r="J37" i="8"/>
  <c r="L37" i="8" s="1"/>
  <c r="T93" i="4"/>
  <c r="T89" i="4"/>
  <c r="T129" i="4"/>
  <c r="T133" i="4"/>
  <c r="D81" i="3"/>
  <c r="F51" i="4"/>
  <c r="F54" i="4"/>
  <c r="F55" i="4" s="1"/>
  <c r="F43" i="4"/>
  <c r="F39" i="4"/>
  <c r="F38" i="4"/>
  <c r="F36" i="4"/>
  <c r="C80" i="3"/>
  <c r="K61" i="3"/>
  <c r="B61" i="3"/>
  <c r="D8" i="3"/>
  <c r="E282" i="3" s="1"/>
  <c r="D7" i="3"/>
  <c r="D6" i="3"/>
  <c r="D5" i="3"/>
  <c r="D9" i="3"/>
  <c r="C9" i="3"/>
  <c r="C8" i="3"/>
  <c r="E280" i="3" s="1"/>
  <c r="C7" i="3"/>
  <c r="C6" i="3"/>
  <c r="C5" i="3"/>
  <c r="C4" i="3"/>
  <c r="D38" i="5" l="1"/>
  <c r="N49" i="5"/>
  <c r="N46" i="5"/>
  <c r="D37" i="5" s="1"/>
  <c r="N61" i="5"/>
  <c r="D40" i="5"/>
  <c r="K37" i="8"/>
  <c r="M37" i="8" s="1"/>
  <c r="D37" i="8"/>
  <c r="E37" i="8"/>
  <c r="E278" i="3"/>
  <c r="D4" i="3"/>
  <c r="D152" i="3"/>
  <c r="A262" i="3"/>
  <c r="A263" i="3"/>
  <c r="A264" i="3"/>
  <c r="A265" i="3"/>
  <c r="A266" i="3"/>
  <c r="A267" i="3"/>
  <c r="A268" i="3"/>
  <c r="A269" i="3"/>
  <c r="A270" i="3"/>
  <c r="A271" i="3"/>
  <c r="A272" i="3"/>
  <c r="A261" i="3"/>
  <c r="A254" i="3"/>
  <c r="A255" i="3"/>
  <c r="A256" i="3"/>
  <c r="A257" i="3"/>
  <c r="A258" i="3"/>
  <c r="A259" i="3"/>
  <c r="A260" i="3"/>
  <c r="A253" i="3"/>
  <c r="A241" i="3"/>
  <c r="A242" i="3"/>
  <c r="A243" i="3"/>
  <c r="A244" i="3"/>
  <c r="A245" i="3"/>
  <c r="A246" i="3"/>
  <c r="A247" i="3"/>
  <c r="A248" i="3"/>
  <c r="A249" i="3"/>
  <c r="A250" i="3"/>
  <c r="A251" i="3"/>
  <c r="A252" i="3"/>
  <c r="A234" i="3"/>
  <c r="A235" i="3"/>
  <c r="A236" i="3"/>
  <c r="A237" i="3"/>
  <c r="A238" i="3"/>
  <c r="A239" i="3"/>
  <c r="A240" i="3"/>
  <c r="A233" i="3"/>
  <c r="A226" i="3"/>
  <c r="C226" i="3"/>
  <c r="A227" i="3"/>
  <c r="C227" i="3"/>
  <c r="F91" i="4" s="1"/>
  <c r="A228" i="3"/>
  <c r="C228" i="3"/>
  <c r="F92" i="4" s="1"/>
  <c r="A229" i="3"/>
  <c r="A230" i="3"/>
  <c r="A231" i="3"/>
  <c r="A232" i="3"/>
  <c r="C225" i="3"/>
  <c r="F89" i="4" s="1"/>
  <c r="A225" i="3"/>
  <c r="M64" i="3"/>
  <c r="M65" i="3" s="1"/>
  <c r="D263" i="3" s="1"/>
  <c r="G127" i="4" s="1"/>
  <c r="Q127" i="4" s="1"/>
  <c r="M55" i="3"/>
  <c r="M56" i="3" s="1"/>
  <c r="F42" i="4" s="1"/>
  <c r="D55" i="3"/>
  <c r="F37" i="8" l="1"/>
  <c r="B38" i="8" s="1"/>
  <c r="F90" i="4"/>
  <c r="H225" i="3"/>
  <c r="U225" i="3" s="1"/>
  <c r="M68" i="3"/>
  <c r="D266" i="3" s="1"/>
  <c r="D262" i="3"/>
  <c r="G37" i="8" l="1"/>
  <c r="N37" i="8" s="1"/>
  <c r="O37" i="8" s="1"/>
  <c r="A38" i="8" s="1"/>
  <c r="I234" i="3"/>
  <c r="G126" i="4"/>
  <c r="Q126" i="4" s="1"/>
  <c r="I235" i="3"/>
  <c r="G130" i="4"/>
  <c r="Q130" i="4" s="1"/>
  <c r="M69" i="3"/>
  <c r="D267" i="3" s="1"/>
  <c r="G131" i="4" s="1"/>
  <c r="Q131" i="4" s="1"/>
  <c r="D151" i="3"/>
  <c r="C38" i="8" l="1"/>
  <c r="J38" i="8"/>
  <c r="L38" i="8" s="1"/>
  <c r="H38" i="8"/>
  <c r="I38" i="8" s="1"/>
  <c r="M38" i="3"/>
  <c r="M39" i="3"/>
  <c r="K68" i="3" s="1"/>
  <c r="B266" i="3" s="1"/>
  <c r="M40" i="3"/>
  <c r="M72" i="3" s="1"/>
  <c r="M41" i="3"/>
  <c r="M42" i="3"/>
  <c r="L42" i="3" s="1"/>
  <c r="L38" i="3"/>
  <c r="L41" i="3"/>
  <c r="K60" i="3"/>
  <c r="M63" i="3" s="1"/>
  <c r="D216" i="3" s="1"/>
  <c r="D219" i="3" s="1"/>
  <c r="K59" i="3"/>
  <c r="D153" i="3"/>
  <c r="K38" i="8" l="1"/>
  <c r="M38" i="8" s="1"/>
  <c r="D38" i="8"/>
  <c r="E38" i="8"/>
  <c r="E130" i="4"/>
  <c r="P130" i="4" s="1"/>
  <c r="W235" i="3"/>
  <c r="M73" i="3"/>
  <c r="D271" i="3" s="1"/>
  <c r="D270" i="3"/>
  <c r="G134" i="4" s="1"/>
  <c r="Q134" i="4" s="1"/>
  <c r="D261" i="3"/>
  <c r="M66" i="3"/>
  <c r="K67" i="3"/>
  <c r="B265" i="3" s="1"/>
  <c r="K69" i="3"/>
  <c r="B267" i="3" s="1"/>
  <c r="K73" i="3"/>
  <c r="B271" i="3" s="1"/>
  <c r="W236" i="3" s="1"/>
  <c r="D131" i="3"/>
  <c r="A136" i="3" s="1"/>
  <c r="D130" i="3"/>
  <c r="D125" i="3"/>
  <c r="D124" i="3"/>
  <c r="D177" i="3" s="1"/>
  <c r="A114" i="3"/>
  <c r="A108" i="3"/>
  <c r="C94" i="3"/>
  <c r="C91" i="3"/>
  <c r="A98" i="3" s="1"/>
  <c r="C84" i="3"/>
  <c r="F38" i="8" l="1"/>
  <c r="G38" i="8" s="1"/>
  <c r="N38" i="8" s="1"/>
  <c r="O38" i="8" s="1"/>
  <c r="A39" i="8" s="1"/>
  <c r="E131" i="4"/>
  <c r="P131" i="4" s="1"/>
  <c r="X235" i="3"/>
  <c r="E129" i="4"/>
  <c r="P129" i="4" s="1"/>
  <c r="V235" i="3"/>
  <c r="E281" i="3"/>
  <c r="H97" i="4"/>
  <c r="G135" i="4"/>
  <c r="Q135" i="4" s="1"/>
  <c r="E279" i="3"/>
  <c r="L93" i="4" s="1"/>
  <c r="L247" i="3"/>
  <c r="E135" i="4"/>
  <c r="P135" i="4" s="1"/>
  <c r="J234" i="3"/>
  <c r="I54" i="4"/>
  <c r="I55" i="4" s="1"/>
  <c r="G125" i="4"/>
  <c r="Q125" i="4" s="1"/>
  <c r="S167" i="3"/>
  <c r="A167" i="3"/>
  <c r="Q167" i="3" s="1"/>
  <c r="I236" i="3"/>
  <c r="M246" i="3"/>
  <c r="M247" i="3"/>
  <c r="F56" i="4"/>
  <c r="K72" i="3"/>
  <c r="B270" i="3" s="1"/>
  <c r="X236" i="3" s="1"/>
  <c r="K74" i="3"/>
  <c r="B272" i="3" s="1"/>
  <c r="V236" i="3" s="1"/>
  <c r="D264" i="3"/>
  <c r="G128" i="4" s="1"/>
  <c r="Q128" i="4" s="1"/>
  <c r="M67" i="3"/>
  <c r="D238" i="3"/>
  <c r="G102" i="4" s="1"/>
  <c r="Q102" i="4" s="1"/>
  <c r="D239" i="3"/>
  <c r="D170" i="3"/>
  <c r="D178" i="3"/>
  <c r="K70" i="3"/>
  <c r="B268" i="3" s="1"/>
  <c r="A137" i="3"/>
  <c r="S166" i="3" s="1"/>
  <c r="C95" i="3"/>
  <c r="B39" i="8" l="1"/>
  <c r="H39" i="8"/>
  <c r="J39" i="8"/>
  <c r="L39" i="8" s="1"/>
  <c r="C39" i="8"/>
  <c r="A99" i="3"/>
  <c r="A100" i="3" s="1"/>
  <c r="A101" i="3" s="1"/>
  <c r="A102" i="3" s="1"/>
  <c r="A103" i="3" s="1"/>
  <c r="E132" i="4"/>
  <c r="P132" i="4" s="1"/>
  <c r="Y235" i="3"/>
  <c r="T101" i="4"/>
  <c r="T97" i="4"/>
  <c r="T125" i="4"/>
  <c r="T121" i="4"/>
  <c r="T117" i="4"/>
  <c r="T113" i="4"/>
  <c r="T109" i="4"/>
  <c r="T105" i="4"/>
  <c r="L248" i="3"/>
  <c r="E136" i="4"/>
  <c r="P136" i="4" s="1"/>
  <c r="L246" i="3"/>
  <c r="E134" i="4"/>
  <c r="P134" i="4" s="1"/>
  <c r="I228" i="3"/>
  <c r="G103" i="4"/>
  <c r="Q103" i="4" s="1"/>
  <c r="M70" i="3"/>
  <c r="D265" i="3"/>
  <c r="K71" i="3"/>
  <c r="B269" i="3" s="1"/>
  <c r="Y236" i="3" s="1"/>
  <c r="A138" i="3"/>
  <c r="S165" i="3" s="1"/>
  <c r="A166" i="3"/>
  <c r="Q166" i="3" s="1"/>
  <c r="C42" i="3"/>
  <c r="C41" i="3"/>
  <c r="C40" i="3"/>
  <c r="I39" i="8" l="1"/>
  <c r="K39" i="8" s="1"/>
  <c r="M39" i="8" s="1"/>
  <c r="D39" i="8"/>
  <c r="E39" i="8"/>
  <c r="L245" i="3"/>
  <c r="E133" i="4"/>
  <c r="P133" i="4" s="1"/>
  <c r="J235" i="3"/>
  <c r="G129" i="4"/>
  <c r="Q129" i="4" s="1"/>
  <c r="M71" i="3"/>
  <c r="D268" i="3"/>
  <c r="G132" i="4" s="1"/>
  <c r="Q132" i="4" s="1"/>
  <c r="A139" i="3"/>
  <c r="S164" i="3" s="1"/>
  <c r="A165" i="3"/>
  <c r="Q165" i="3" s="1"/>
  <c r="D69" i="3"/>
  <c r="D231" i="3" s="1"/>
  <c r="G95" i="4" s="1"/>
  <c r="Q95" i="4" s="1"/>
  <c r="D68" i="3"/>
  <c r="D230" i="3" s="1"/>
  <c r="G94" i="4" s="1"/>
  <c r="Q94" i="4" s="1"/>
  <c r="D65" i="3"/>
  <c r="D227" i="3" s="1"/>
  <c r="D64" i="3"/>
  <c r="D226" i="3" s="1"/>
  <c r="G90" i="4" s="1"/>
  <c r="Q90" i="4" s="1"/>
  <c r="C67" i="3"/>
  <c r="B60" i="3"/>
  <c r="B59" i="3"/>
  <c r="D56" i="3"/>
  <c r="D39" i="3"/>
  <c r="L39" i="3" s="1"/>
  <c r="C38" i="3"/>
  <c r="C39" i="3"/>
  <c r="B64" i="3" s="1"/>
  <c r="C37" i="3"/>
  <c r="C30" i="3"/>
  <c r="C26" i="3"/>
  <c r="C28" i="3"/>
  <c r="C27" i="3"/>
  <c r="M37" i="3"/>
  <c r="F39" i="8" l="1"/>
  <c r="G39" i="8" s="1"/>
  <c r="N39" i="8" s="1"/>
  <c r="O39" i="8" s="1"/>
  <c r="A40" i="8" s="1"/>
  <c r="F37" i="4"/>
  <c r="I247" i="3"/>
  <c r="G91" i="4"/>
  <c r="Q91" i="4" s="1"/>
  <c r="I226" i="3"/>
  <c r="F49" i="4"/>
  <c r="I225" i="3"/>
  <c r="F48" i="4"/>
  <c r="I246" i="3"/>
  <c r="B69" i="3"/>
  <c r="B231" i="3" s="1"/>
  <c r="B226" i="3"/>
  <c r="W225" i="3" s="1"/>
  <c r="C68" i="3"/>
  <c r="C229" i="3"/>
  <c r="F93" i="4" s="1"/>
  <c r="M74" i="3"/>
  <c r="D272" i="3" s="1"/>
  <c r="D269" i="3"/>
  <c r="G133" i="4" s="1"/>
  <c r="Q133" i="4" s="1"/>
  <c r="C155" i="3"/>
  <c r="D155" i="3" s="1"/>
  <c r="E155" i="3" s="1"/>
  <c r="F155" i="3" s="1"/>
  <c r="R155" i="3" s="1"/>
  <c r="C156" i="3"/>
  <c r="D156" i="3" s="1"/>
  <c r="E156" i="3" s="1"/>
  <c r="F156" i="3" s="1"/>
  <c r="R156" i="3" s="1"/>
  <c r="C160" i="3"/>
  <c r="D160" i="3" s="1"/>
  <c r="E160" i="3" s="1"/>
  <c r="F160" i="3" s="1"/>
  <c r="R160" i="3" s="1"/>
  <c r="C164" i="3"/>
  <c r="D164" i="3" s="1"/>
  <c r="E164" i="3" s="1"/>
  <c r="F164" i="3" s="1"/>
  <c r="R164" i="3" s="1"/>
  <c r="C163" i="3"/>
  <c r="D163" i="3" s="1"/>
  <c r="E163" i="3" s="1"/>
  <c r="F163" i="3" s="1"/>
  <c r="R163" i="3" s="1"/>
  <c r="C157" i="3"/>
  <c r="D157" i="3" s="1"/>
  <c r="E157" i="3" s="1"/>
  <c r="F157" i="3" s="1"/>
  <c r="R157" i="3" s="1"/>
  <c r="C161" i="3"/>
  <c r="D161" i="3" s="1"/>
  <c r="E161" i="3" s="1"/>
  <c r="F161" i="3" s="1"/>
  <c r="R161" i="3" s="1"/>
  <c r="C165" i="3"/>
  <c r="D165" i="3" s="1"/>
  <c r="E165" i="3" s="1"/>
  <c r="F165" i="3" s="1"/>
  <c r="R165" i="3" s="1"/>
  <c r="C167" i="3"/>
  <c r="D167" i="3" s="1"/>
  <c r="E167" i="3" s="1"/>
  <c r="F167" i="3" s="1"/>
  <c r="R167" i="3" s="1"/>
  <c r="C158" i="3"/>
  <c r="D158" i="3" s="1"/>
  <c r="E158" i="3" s="1"/>
  <c r="F158" i="3" s="1"/>
  <c r="R158" i="3" s="1"/>
  <c r="C162" i="3"/>
  <c r="D162" i="3" s="1"/>
  <c r="E162" i="3" s="1"/>
  <c r="F162" i="3" s="1"/>
  <c r="R162" i="3" s="1"/>
  <c r="C166" i="3"/>
  <c r="D166" i="3" s="1"/>
  <c r="E166" i="3" s="1"/>
  <c r="F166" i="3" s="1"/>
  <c r="R166" i="3" s="1"/>
  <c r="C159" i="3"/>
  <c r="D159" i="3" s="1"/>
  <c r="E159" i="3" s="1"/>
  <c r="F159" i="3" s="1"/>
  <c r="R159" i="3" s="1"/>
  <c r="K64" i="3"/>
  <c r="B262" i="3" s="1"/>
  <c r="K63" i="3"/>
  <c r="B261" i="3" s="1"/>
  <c r="D37" i="3"/>
  <c r="L37" i="3" s="1"/>
  <c r="A140" i="3"/>
  <c r="S163" i="3" s="1"/>
  <c r="A164" i="3"/>
  <c r="Q164" i="3" s="1"/>
  <c r="B65" i="3"/>
  <c r="B66" i="3"/>
  <c r="B73" i="3"/>
  <c r="B121" i="3" s="1"/>
  <c r="C83" i="3"/>
  <c r="B99" i="3" s="1"/>
  <c r="F99" i="3" s="1"/>
  <c r="G99" i="3" s="1"/>
  <c r="H99" i="3" s="1"/>
  <c r="C31" i="3"/>
  <c r="C32" i="3"/>
  <c r="D67" i="3"/>
  <c r="D63" i="3"/>
  <c r="B72" i="3"/>
  <c r="B120" i="3" s="1"/>
  <c r="B71" i="3"/>
  <c r="B119" i="3" s="1"/>
  <c r="B63" i="3"/>
  <c r="B74" i="3"/>
  <c r="B122" i="3" s="1"/>
  <c r="J55" i="1"/>
  <c r="J54" i="1"/>
  <c r="J53" i="1"/>
  <c r="J52" i="1"/>
  <c r="H84" i="1" s="1"/>
  <c r="L45" i="1"/>
  <c r="L44" i="1"/>
  <c r="B40" i="8" l="1"/>
  <c r="J40" i="8"/>
  <c r="L40" i="8" s="1"/>
  <c r="H40" i="8"/>
  <c r="C40" i="8"/>
  <c r="E125" i="4"/>
  <c r="P125" i="4" s="1"/>
  <c r="Y234" i="3"/>
  <c r="E126" i="4"/>
  <c r="P126" i="4" s="1"/>
  <c r="X234" i="3"/>
  <c r="E95" i="4"/>
  <c r="P95" i="4" s="1"/>
  <c r="W226" i="3"/>
  <c r="H246" i="3"/>
  <c r="E90" i="4"/>
  <c r="P90" i="4" s="1"/>
  <c r="M248" i="3"/>
  <c r="I56" i="4"/>
  <c r="G136" i="4"/>
  <c r="Q136" i="4" s="1"/>
  <c r="J236" i="3"/>
  <c r="M245" i="3"/>
  <c r="D70" i="3"/>
  <c r="D232" i="3" s="1"/>
  <c r="D229" i="3"/>
  <c r="B126" i="3"/>
  <c r="B240" i="3" s="1"/>
  <c r="B176" i="3"/>
  <c r="B233" i="3"/>
  <c r="V227" i="3" s="1"/>
  <c r="B125" i="3"/>
  <c r="B239" i="3" s="1"/>
  <c r="B234" i="3"/>
  <c r="W227" i="3" s="1"/>
  <c r="B177" i="3"/>
  <c r="K66" i="3"/>
  <c r="B264" i="3" s="1"/>
  <c r="B124" i="3"/>
  <c r="B238" i="3" s="1"/>
  <c r="B178" i="3"/>
  <c r="B235" i="3"/>
  <c r="X227" i="3" s="1"/>
  <c r="B123" i="3"/>
  <c r="B237" i="3" s="1"/>
  <c r="B236" i="3"/>
  <c r="Y227" i="3" s="1"/>
  <c r="B179" i="3"/>
  <c r="B70" i="3"/>
  <c r="B232" i="3" s="1"/>
  <c r="B225" i="3"/>
  <c r="D66" i="3"/>
  <c r="D228" i="3" s="1"/>
  <c r="D225" i="3"/>
  <c r="K65" i="3"/>
  <c r="B263" i="3" s="1"/>
  <c r="C69" i="3"/>
  <c r="C230" i="3"/>
  <c r="B67" i="3"/>
  <c r="B229" i="3" s="1"/>
  <c r="B228" i="3"/>
  <c r="Y225" i="3" s="1"/>
  <c r="B68" i="3"/>
  <c r="B230" i="3" s="1"/>
  <c r="B227" i="3"/>
  <c r="X225" i="3" s="1"/>
  <c r="A141" i="3"/>
  <c r="S162" i="3" s="1"/>
  <c r="A163" i="3"/>
  <c r="Q163" i="3" s="1"/>
  <c r="B136" i="3"/>
  <c r="C136" i="3" s="1"/>
  <c r="D136" i="3" s="1"/>
  <c r="E136" i="3" s="1"/>
  <c r="D132" i="3"/>
  <c r="D133" i="3" s="1"/>
  <c r="D134" i="3" s="1"/>
  <c r="B138" i="3"/>
  <c r="C138" i="3" s="1"/>
  <c r="D138" i="3" s="1"/>
  <c r="E138" i="3" s="1"/>
  <c r="B139" i="3"/>
  <c r="C139" i="3" s="1"/>
  <c r="D139" i="3" s="1"/>
  <c r="E139" i="3" s="1"/>
  <c r="B137" i="3"/>
  <c r="C137" i="3" s="1"/>
  <c r="D137" i="3" s="1"/>
  <c r="E137" i="3" s="1"/>
  <c r="B140" i="3"/>
  <c r="C140" i="3" s="1"/>
  <c r="D140" i="3" s="1"/>
  <c r="E140" i="3" s="1"/>
  <c r="C33" i="3"/>
  <c r="D42" i="3" s="1"/>
  <c r="C99" i="3"/>
  <c r="B100" i="3"/>
  <c r="C100" i="3"/>
  <c r="B101" i="3"/>
  <c r="C101" i="3"/>
  <c r="B102" i="3"/>
  <c r="C102" i="3"/>
  <c r="B103" i="3"/>
  <c r="C103" i="3"/>
  <c r="C98" i="3"/>
  <c r="B98" i="3"/>
  <c r="F98" i="3" s="1"/>
  <c r="N17" i="1"/>
  <c r="D32" i="1"/>
  <c r="I40" i="8" l="1"/>
  <c r="K40" i="8" s="1"/>
  <c r="M40" i="8" s="1"/>
  <c r="E40" i="8"/>
  <c r="D40" i="8"/>
  <c r="V225" i="3"/>
  <c r="E89" i="4"/>
  <c r="P89" i="4" s="1"/>
  <c r="E104" i="4"/>
  <c r="P104" i="4" s="1"/>
  <c r="V228" i="3"/>
  <c r="E103" i="4"/>
  <c r="P103" i="4" s="1"/>
  <c r="W228" i="3"/>
  <c r="E102" i="4"/>
  <c r="P102" i="4" s="1"/>
  <c r="X228" i="3"/>
  <c r="E128" i="4"/>
  <c r="P128" i="4" s="1"/>
  <c r="V234" i="3"/>
  <c r="E101" i="4"/>
  <c r="P101" i="4" s="1"/>
  <c r="Y228" i="3"/>
  <c r="E127" i="4"/>
  <c r="P127" i="4" s="1"/>
  <c r="W234" i="3"/>
  <c r="E93" i="4"/>
  <c r="P93" i="4" s="1"/>
  <c r="Y226" i="3"/>
  <c r="E94" i="4"/>
  <c r="P94" i="4" s="1"/>
  <c r="X226" i="3"/>
  <c r="E96" i="4"/>
  <c r="P96" i="4" s="1"/>
  <c r="V226" i="3"/>
  <c r="O98" i="3"/>
  <c r="P98" i="3" s="1"/>
  <c r="H226" i="3"/>
  <c r="U226" i="3" s="1"/>
  <c r="F94" i="4"/>
  <c r="J245" i="3"/>
  <c r="E97" i="4"/>
  <c r="P97" i="4" s="1"/>
  <c r="J247" i="3"/>
  <c r="E99" i="4"/>
  <c r="P99" i="4" s="1"/>
  <c r="J246" i="3"/>
  <c r="E98" i="4"/>
  <c r="P98" i="4" s="1"/>
  <c r="J248" i="3"/>
  <c r="E100" i="4"/>
  <c r="P100" i="4" s="1"/>
  <c r="H245" i="3"/>
  <c r="H248" i="3"/>
  <c r="E92" i="4"/>
  <c r="P92" i="4" s="1"/>
  <c r="H247" i="3"/>
  <c r="E91" i="4"/>
  <c r="P91" i="4" s="1"/>
  <c r="F50" i="4"/>
  <c r="C81" i="3"/>
  <c r="G89" i="4"/>
  <c r="Q89" i="4" s="1"/>
  <c r="I48" i="4"/>
  <c r="I248" i="3"/>
  <c r="G92" i="4"/>
  <c r="Q92" i="4" s="1"/>
  <c r="J226" i="3"/>
  <c r="G93" i="4"/>
  <c r="Q93" i="4" s="1"/>
  <c r="G96" i="4"/>
  <c r="Q96" i="4" s="1"/>
  <c r="I49" i="4"/>
  <c r="J225" i="3"/>
  <c r="I245" i="3"/>
  <c r="B182" i="3"/>
  <c r="B243" i="3" s="1"/>
  <c r="B180" i="3"/>
  <c r="B241" i="3" s="1"/>
  <c r="C70" i="3"/>
  <c r="C231" i="3"/>
  <c r="F95" i="4" s="1"/>
  <c r="B181" i="3"/>
  <c r="B242" i="3" s="1"/>
  <c r="B183" i="3"/>
  <c r="B244" i="3" s="1"/>
  <c r="F136" i="3"/>
  <c r="T167" i="3" s="1"/>
  <c r="P167" i="3" s="1"/>
  <c r="F137" i="3"/>
  <c r="T166" i="3" s="1"/>
  <c r="P166" i="3" s="1"/>
  <c r="F140" i="3"/>
  <c r="T163" i="3" s="1"/>
  <c r="P163" i="3" s="1"/>
  <c r="F139" i="3"/>
  <c r="T164" i="3" s="1"/>
  <c r="P164" i="3" s="1"/>
  <c r="A142" i="3"/>
  <c r="S161" i="3" s="1"/>
  <c r="A162" i="3"/>
  <c r="Q162" i="3" s="1"/>
  <c r="B141" i="3"/>
  <c r="C141" i="3" s="1"/>
  <c r="D141" i="3" s="1"/>
  <c r="E141" i="3" s="1"/>
  <c r="F141" i="3" s="1"/>
  <c r="T162" i="3" s="1"/>
  <c r="P162" i="3" s="1"/>
  <c r="F138" i="3"/>
  <c r="T165" i="3" s="1"/>
  <c r="P165" i="3" s="1"/>
  <c r="F102" i="3"/>
  <c r="D102" i="3"/>
  <c r="E102" i="3" s="1"/>
  <c r="O99" i="3"/>
  <c r="P99" i="3" s="1"/>
  <c r="D99" i="3"/>
  <c r="E99" i="3" s="1"/>
  <c r="F100" i="3"/>
  <c r="D100" i="3"/>
  <c r="E100" i="3" s="1"/>
  <c r="F101" i="3"/>
  <c r="D101" i="3"/>
  <c r="E101" i="3" s="1"/>
  <c r="D98" i="3"/>
  <c r="E98" i="3" s="1"/>
  <c r="J98" i="3" s="1"/>
  <c r="G98" i="3"/>
  <c r="H98" i="3" s="1"/>
  <c r="I99" i="3" s="1"/>
  <c r="F103" i="3"/>
  <c r="D103" i="3"/>
  <c r="E103" i="3" s="1"/>
  <c r="D73" i="3"/>
  <c r="D121" i="3" s="1"/>
  <c r="D235" i="3" s="1"/>
  <c r="G99" i="4" s="1"/>
  <c r="Q99" i="4" s="1"/>
  <c r="D72" i="3"/>
  <c r="D120" i="3" s="1"/>
  <c r="D234" i="3" s="1"/>
  <c r="D71" i="3"/>
  <c r="D119" i="3" s="1"/>
  <c r="D233" i="3" s="1"/>
  <c r="G97" i="4" s="1"/>
  <c r="Q97" i="4" s="1"/>
  <c r="D74" i="3"/>
  <c r="D122" i="3" s="1"/>
  <c r="D236" i="3" s="1"/>
  <c r="K36" i="1"/>
  <c r="L36" i="1" s="1"/>
  <c r="K33" i="1"/>
  <c r="H37" i="1" s="1"/>
  <c r="D58" i="1"/>
  <c r="D62" i="1" s="1"/>
  <c r="D57" i="1"/>
  <c r="D61" i="1" s="1"/>
  <c r="E65" i="1" s="1"/>
  <c r="D53" i="1"/>
  <c r="B58" i="1"/>
  <c r="B57" i="1"/>
  <c r="B50" i="1"/>
  <c r="B49" i="1"/>
  <c r="C59" i="1"/>
  <c r="C60" i="1" s="1"/>
  <c r="C61" i="1" s="1"/>
  <c r="C62" i="1" s="1"/>
  <c r="C63" i="1" s="1"/>
  <c r="C58" i="1"/>
  <c r="C57" i="1"/>
  <c r="C56" i="1"/>
  <c r="A70" i="1" s="1"/>
  <c r="A71" i="1" s="1"/>
  <c r="C55" i="1"/>
  <c r="C54" i="1"/>
  <c r="C53" i="1"/>
  <c r="C52" i="1"/>
  <c r="A69" i="1" s="1"/>
  <c r="D49" i="1"/>
  <c r="D50" i="1" s="1"/>
  <c r="C49" i="1"/>
  <c r="C50" i="1" s="1"/>
  <c r="C51" i="1" s="1"/>
  <c r="B45" i="1"/>
  <c r="B56" i="1" s="1"/>
  <c r="B44" i="1"/>
  <c r="F40" i="8" l="1"/>
  <c r="B53" i="1"/>
  <c r="D69" i="1" s="1"/>
  <c r="D68" i="1"/>
  <c r="B48" i="1"/>
  <c r="B68" i="1" s="1"/>
  <c r="B51" i="1"/>
  <c r="E68" i="1" s="1"/>
  <c r="B54" i="1"/>
  <c r="C69" i="1" s="1"/>
  <c r="C68" i="1"/>
  <c r="J37" i="1"/>
  <c r="I37" i="1"/>
  <c r="O102" i="3"/>
  <c r="P102" i="3" s="1"/>
  <c r="G102" i="3"/>
  <c r="O100" i="3"/>
  <c r="P100" i="3" s="1"/>
  <c r="G100" i="3"/>
  <c r="H100" i="3" s="1"/>
  <c r="O101" i="3"/>
  <c r="P101" i="3" s="1"/>
  <c r="G101" i="3"/>
  <c r="H101" i="3" s="1"/>
  <c r="O103" i="3"/>
  <c r="P103" i="3" s="1"/>
  <c r="D123" i="3" s="1"/>
  <c r="D176" i="3" s="1"/>
  <c r="G103" i="3"/>
  <c r="H103" i="3" s="1"/>
  <c r="B62" i="1"/>
  <c r="C70" i="1"/>
  <c r="C71" i="1" s="1"/>
  <c r="B61" i="1"/>
  <c r="D70" i="1"/>
  <c r="D71" i="1" s="1"/>
  <c r="B63" i="1"/>
  <c r="B70" i="1"/>
  <c r="B71" i="1" s="1"/>
  <c r="E108" i="4"/>
  <c r="P108" i="4" s="1"/>
  <c r="Y229" i="3"/>
  <c r="E106" i="4"/>
  <c r="P106" i="4" s="1"/>
  <c r="W229" i="3"/>
  <c r="E107" i="4"/>
  <c r="P107" i="4" s="1"/>
  <c r="X229" i="3"/>
  <c r="E105" i="4"/>
  <c r="P105" i="4" s="1"/>
  <c r="V229" i="3"/>
  <c r="K246" i="3"/>
  <c r="G98" i="4"/>
  <c r="Q98" i="4" s="1"/>
  <c r="K248" i="3"/>
  <c r="G100" i="4"/>
  <c r="Q100" i="4" s="1"/>
  <c r="I50" i="4"/>
  <c r="I227" i="3"/>
  <c r="K247" i="3"/>
  <c r="J227" i="3"/>
  <c r="K245" i="3"/>
  <c r="B186" i="3"/>
  <c r="B247" i="3" s="1"/>
  <c r="C232" i="3"/>
  <c r="F96" i="4" s="1"/>
  <c r="C73" i="3"/>
  <c r="C121" i="3" s="1"/>
  <c r="C235" i="3" s="1"/>
  <c r="C74" i="3"/>
  <c r="C122" i="3" s="1"/>
  <c r="C72" i="3"/>
  <c r="C120" i="3" s="1"/>
  <c r="C234" i="3" s="1"/>
  <c r="F98" i="4" s="1"/>
  <c r="C71" i="3"/>
  <c r="C119" i="3" s="1"/>
  <c r="C233" i="3" s="1"/>
  <c r="F97" i="4" s="1"/>
  <c r="B187" i="3"/>
  <c r="B248" i="3" s="1"/>
  <c r="B185" i="3"/>
  <c r="B246" i="3" s="1"/>
  <c r="B184" i="3"/>
  <c r="B245" i="3" s="1"/>
  <c r="C82" i="3"/>
  <c r="A143" i="3"/>
  <c r="S160" i="3" s="1"/>
  <c r="A161" i="3"/>
  <c r="Q161" i="3" s="1"/>
  <c r="B142" i="3"/>
  <c r="C142" i="3" s="1"/>
  <c r="D142" i="3" s="1"/>
  <c r="E142" i="3" s="1"/>
  <c r="F142" i="3" s="1"/>
  <c r="T161" i="3" s="1"/>
  <c r="P161" i="3" s="1"/>
  <c r="J99" i="3"/>
  <c r="K99" i="3" s="1"/>
  <c r="J101" i="3"/>
  <c r="J100" i="3"/>
  <c r="J103" i="3"/>
  <c r="J102" i="3"/>
  <c r="H102" i="3"/>
  <c r="K37" i="1"/>
  <c r="L37" i="1" s="1"/>
  <c r="J56" i="1"/>
  <c r="K55" i="1"/>
  <c r="K52" i="1"/>
  <c r="K54" i="1"/>
  <c r="K53" i="1"/>
  <c r="I54" i="1"/>
  <c r="I53" i="1"/>
  <c r="H38" i="1"/>
  <c r="D48" i="1"/>
  <c r="D51" i="1" s="1"/>
  <c r="D52" i="1"/>
  <c r="D56" i="1"/>
  <c r="B59" i="1"/>
  <c r="F34" i="2"/>
  <c r="G34" i="2"/>
  <c r="G33" i="2"/>
  <c r="G32" i="2"/>
  <c r="G31" i="2"/>
  <c r="H33" i="2"/>
  <c r="H32" i="2"/>
  <c r="H34" i="2"/>
  <c r="H31" i="2"/>
  <c r="H30" i="2"/>
  <c r="H28" i="2"/>
  <c r="H29" i="2" s="1"/>
  <c r="F28" i="2"/>
  <c r="F29" i="2" s="1"/>
  <c r="B11" i="2"/>
  <c r="G40" i="8" l="1"/>
  <c r="N40" i="8" s="1"/>
  <c r="O40" i="8" s="1"/>
  <c r="A41" i="8" s="1"/>
  <c r="B41" i="8"/>
  <c r="B55" i="1"/>
  <c r="B69" i="1" s="1"/>
  <c r="B52" i="1"/>
  <c r="E69" i="1" s="1"/>
  <c r="J38" i="1"/>
  <c r="I38" i="1"/>
  <c r="L99" i="3"/>
  <c r="D126" i="3"/>
  <c r="D179" i="3" s="1"/>
  <c r="B60" i="1"/>
  <c r="E70" i="1"/>
  <c r="E71" i="1" s="1"/>
  <c r="J57" i="1"/>
  <c r="J58" i="1" s="1"/>
  <c r="J59" i="1" s="1"/>
  <c r="H85" i="1"/>
  <c r="L84" i="1"/>
  <c r="L83" i="1" s="1"/>
  <c r="I50" i="1"/>
  <c r="J84" i="1"/>
  <c r="J83" i="1" s="1"/>
  <c r="I49" i="1"/>
  <c r="K84" i="1"/>
  <c r="K83" i="1" s="1"/>
  <c r="I84" i="1"/>
  <c r="I83" i="1" s="1"/>
  <c r="E109" i="4"/>
  <c r="P109" i="4" s="1"/>
  <c r="Y230" i="3"/>
  <c r="E111" i="4"/>
  <c r="P111" i="4" s="1"/>
  <c r="W230" i="3"/>
  <c r="E110" i="4"/>
  <c r="P110" i="4" s="1"/>
  <c r="X230" i="3"/>
  <c r="E112" i="4"/>
  <c r="P112" i="4" s="1"/>
  <c r="V230" i="3"/>
  <c r="R93" i="4"/>
  <c r="H227" i="3"/>
  <c r="U227" i="3" s="1"/>
  <c r="F99" i="4"/>
  <c r="D237" i="3"/>
  <c r="B190" i="3"/>
  <c r="B251" i="3" s="1"/>
  <c r="C236" i="3"/>
  <c r="F100" i="4" s="1"/>
  <c r="C125" i="3"/>
  <c r="C239" i="3" s="1"/>
  <c r="C126" i="3"/>
  <c r="C124" i="3"/>
  <c r="C238" i="3" s="1"/>
  <c r="F102" i="4" s="1"/>
  <c r="C123" i="3"/>
  <c r="C237" i="3" s="1"/>
  <c r="F101" i="4" s="1"/>
  <c r="B191" i="3"/>
  <c r="B252" i="3" s="1"/>
  <c r="B189" i="3"/>
  <c r="B250" i="3" s="1"/>
  <c r="B188" i="3"/>
  <c r="B249" i="3" s="1"/>
  <c r="B114" i="3"/>
  <c r="C114" i="3" s="1"/>
  <c r="B108" i="3"/>
  <c r="C108" i="3" s="1"/>
  <c r="A144" i="3"/>
  <c r="S159" i="3" s="1"/>
  <c r="A160" i="3"/>
  <c r="Q160" i="3" s="1"/>
  <c r="B143" i="3"/>
  <c r="C143" i="3" s="1"/>
  <c r="D143" i="3" s="1"/>
  <c r="E143" i="3" s="1"/>
  <c r="F143" i="3" s="1"/>
  <c r="T160" i="3" s="1"/>
  <c r="P160" i="3" s="1"/>
  <c r="K102" i="3"/>
  <c r="L102" i="3" s="1"/>
  <c r="I102" i="3"/>
  <c r="K103" i="3"/>
  <c r="L103" i="3" s="1"/>
  <c r="K100" i="3"/>
  <c r="L100" i="3" s="1"/>
  <c r="I100" i="3"/>
  <c r="K101" i="3"/>
  <c r="I103" i="3"/>
  <c r="I101" i="3"/>
  <c r="K57" i="1"/>
  <c r="K49" i="1"/>
  <c r="K48" i="1"/>
  <c r="K51" i="1"/>
  <c r="K58" i="1"/>
  <c r="K50" i="1"/>
  <c r="J63" i="1"/>
  <c r="J61" i="1"/>
  <c r="J62" i="1"/>
  <c r="J60" i="1"/>
  <c r="I59" i="1"/>
  <c r="I85" i="1" s="1"/>
  <c r="I58" i="1"/>
  <c r="J85" i="1" s="1"/>
  <c r="I57" i="1"/>
  <c r="K85" i="1" s="1"/>
  <c r="I56" i="1"/>
  <c r="L85" i="1" s="1"/>
  <c r="H39" i="1"/>
  <c r="K38" i="1"/>
  <c r="L38" i="1" s="1"/>
  <c r="D54" i="1"/>
  <c r="D55" i="1"/>
  <c r="D59" i="1"/>
  <c r="D63" i="1" s="1"/>
  <c r="D60" i="1"/>
  <c r="F33" i="2"/>
  <c r="F30" i="2"/>
  <c r="F31" i="2" s="1"/>
  <c r="F32" i="2"/>
  <c r="B13" i="2"/>
  <c r="B10" i="2"/>
  <c r="B17" i="2" s="1"/>
  <c r="H41" i="8" l="1"/>
  <c r="I41" i="8" s="1"/>
  <c r="C41" i="8"/>
  <c r="J41" i="8"/>
  <c r="L41" i="8" s="1"/>
  <c r="D240" i="3"/>
  <c r="G104" i="4" s="1"/>
  <c r="Q104" i="4" s="1"/>
  <c r="J39" i="1"/>
  <c r="I39" i="1"/>
  <c r="H86" i="1"/>
  <c r="E113" i="4"/>
  <c r="P113" i="4" s="1"/>
  <c r="V231" i="3"/>
  <c r="E114" i="4"/>
  <c r="P114" i="4" s="1"/>
  <c r="W231" i="3"/>
  <c r="E115" i="4"/>
  <c r="P115" i="4" s="1"/>
  <c r="X231" i="3"/>
  <c r="E116" i="4"/>
  <c r="P116" i="4" s="1"/>
  <c r="Y231" i="3"/>
  <c r="R97" i="4"/>
  <c r="J228" i="3"/>
  <c r="G101" i="4"/>
  <c r="Q101" i="4" s="1"/>
  <c r="H228" i="3"/>
  <c r="U228" i="3" s="1"/>
  <c r="F103" i="4"/>
  <c r="B194" i="3"/>
  <c r="B192" i="3"/>
  <c r="B193" i="3"/>
  <c r="B195" i="3"/>
  <c r="C176" i="3"/>
  <c r="C240" i="3"/>
  <c r="F104" i="4" s="1"/>
  <c r="D114" i="3"/>
  <c r="D108" i="3"/>
  <c r="A145" i="3"/>
  <c r="S158" i="3" s="1"/>
  <c r="A159" i="3"/>
  <c r="Q159" i="3" s="1"/>
  <c r="B144" i="3"/>
  <c r="C144" i="3" s="1"/>
  <c r="D144" i="3" s="1"/>
  <c r="E144" i="3" s="1"/>
  <c r="F144" i="3" s="1"/>
  <c r="T159" i="3" s="1"/>
  <c r="P159" i="3" s="1"/>
  <c r="M103" i="3"/>
  <c r="M102" i="3"/>
  <c r="M100" i="3"/>
  <c r="M99" i="3"/>
  <c r="N99" i="3" s="1"/>
  <c r="A109" i="3" s="1"/>
  <c r="L101" i="3"/>
  <c r="M101" i="3" s="1"/>
  <c r="K61" i="1"/>
  <c r="J67" i="1"/>
  <c r="J65" i="1"/>
  <c r="J66" i="1"/>
  <c r="J64" i="1"/>
  <c r="K62" i="1"/>
  <c r="I63" i="1"/>
  <c r="L86" i="1" s="1"/>
  <c r="I62" i="1"/>
  <c r="K86" i="1" s="1"/>
  <c r="I61" i="1"/>
  <c r="J86" i="1" s="1"/>
  <c r="I60" i="1"/>
  <c r="I86" i="1" s="1"/>
  <c r="H40" i="1"/>
  <c r="K39" i="1"/>
  <c r="B12" i="2"/>
  <c r="D41" i="8" l="1"/>
  <c r="E41" i="8"/>
  <c r="K41" i="8"/>
  <c r="M41" i="8" s="1"/>
  <c r="I51" i="4"/>
  <c r="B14" i="2"/>
  <c r="B16" i="2" s="1"/>
  <c r="J40" i="1"/>
  <c r="I40" i="1"/>
  <c r="H87" i="1"/>
  <c r="B211" i="3"/>
  <c r="B256" i="3" s="1"/>
  <c r="B209" i="3"/>
  <c r="B254" i="3" s="1"/>
  <c r="B208" i="3"/>
  <c r="B253" i="3" s="1"/>
  <c r="B210" i="3"/>
  <c r="B255" i="3" s="1"/>
  <c r="C177" i="3"/>
  <c r="A146" i="3"/>
  <c r="S157" i="3" s="1"/>
  <c r="A158" i="3"/>
  <c r="Q158" i="3" s="1"/>
  <c r="B145" i="3"/>
  <c r="C145" i="3" s="1"/>
  <c r="D145" i="3" s="1"/>
  <c r="E145" i="3" s="1"/>
  <c r="F145" i="3" s="1"/>
  <c r="T158" i="3" s="1"/>
  <c r="P158" i="3" s="1"/>
  <c r="N100" i="3"/>
  <c r="N101" i="3" s="1"/>
  <c r="A111" i="3" s="1"/>
  <c r="B109" i="3"/>
  <c r="J68" i="1"/>
  <c r="J69" i="1"/>
  <c r="J71" i="1"/>
  <c r="J70" i="1"/>
  <c r="L39" i="1"/>
  <c r="K65" i="1"/>
  <c r="K66" i="1"/>
  <c r="I67" i="1"/>
  <c r="I87" i="1" s="1"/>
  <c r="I64" i="1"/>
  <c r="L87" i="1" s="1"/>
  <c r="I66" i="1"/>
  <c r="J87" i="1" s="1"/>
  <c r="I65" i="1"/>
  <c r="K87" i="1" s="1"/>
  <c r="H41" i="1"/>
  <c r="J41" i="1" s="1"/>
  <c r="K40" i="1"/>
  <c r="F41" i="8" l="1"/>
  <c r="G41" i="8" s="1"/>
  <c r="N41" i="8" s="1"/>
  <c r="O41" i="8" s="1"/>
  <c r="A42" i="8" s="1"/>
  <c r="B15" i="2"/>
  <c r="H88" i="1"/>
  <c r="E120" i="4"/>
  <c r="P120" i="4" s="1"/>
  <c r="V232" i="3"/>
  <c r="E119" i="4"/>
  <c r="P119" i="4" s="1"/>
  <c r="W232" i="3"/>
  <c r="E117" i="4"/>
  <c r="P117" i="4" s="1"/>
  <c r="Y232" i="3"/>
  <c r="E118" i="4"/>
  <c r="P118" i="4" s="1"/>
  <c r="X232" i="3"/>
  <c r="B213" i="3"/>
  <c r="B258" i="3" s="1"/>
  <c r="B212" i="3"/>
  <c r="B257" i="3" s="1"/>
  <c r="B215" i="3"/>
  <c r="B260" i="3" s="1"/>
  <c r="B214" i="3"/>
  <c r="B259" i="3" s="1"/>
  <c r="C178" i="3"/>
  <c r="D109" i="3"/>
  <c r="C109" i="3"/>
  <c r="B110" i="3"/>
  <c r="A110" i="3"/>
  <c r="A147" i="3"/>
  <c r="S156" i="3" s="1"/>
  <c r="A157" i="3"/>
  <c r="Q157" i="3" s="1"/>
  <c r="B146" i="3"/>
  <c r="C146" i="3" s="1"/>
  <c r="D146" i="3" s="1"/>
  <c r="E146" i="3" s="1"/>
  <c r="F146" i="3" s="1"/>
  <c r="T157" i="3" s="1"/>
  <c r="P157" i="3" s="1"/>
  <c r="N102" i="3"/>
  <c r="A112" i="3" s="1"/>
  <c r="B111" i="3"/>
  <c r="J77" i="1"/>
  <c r="J73" i="1"/>
  <c r="J78" i="1"/>
  <c r="J74" i="1"/>
  <c r="J79" i="1"/>
  <c r="J75" i="1"/>
  <c r="J76" i="1"/>
  <c r="J72" i="1"/>
  <c r="H89" i="1" s="1"/>
  <c r="H90" i="1" s="1"/>
  <c r="L40" i="1"/>
  <c r="K69" i="1"/>
  <c r="K70" i="1"/>
  <c r="I71" i="1"/>
  <c r="L88" i="1" s="1"/>
  <c r="I68" i="1"/>
  <c r="I88" i="1" s="1"/>
  <c r="I70" i="1"/>
  <c r="K88" i="1" s="1"/>
  <c r="I69" i="1"/>
  <c r="J88" i="1" s="1"/>
  <c r="I41" i="1"/>
  <c r="K41" i="1"/>
  <c r="B42" i="8" l="1"/>
  <c r="H42" i="8"/>
  <c r="J42" i="8"/>
  <c r="L42" i="8" s="1"/>
  <c r="C42" i="8"/>
  <c r="E124" i="4"/>
  <c r="P124" i="4" s="1"/>
  <c r="Y233" i="3"/>
  <c r="E122" i="4"/>
  <c r="P122" i="4" s="1"/>
  <c r="W233" i="3"/>
  <c r="E123" i="4"/>
  <c r="P123" i="4" s="1"/>
  <c r="X233" i="3"/>
  <c r="E121" i="4"/>
  <c r="P121" i="4" s="1"/>
  <c r="V233" i="3"/>
  <c r="B217" i="3"/>
  <c r="B216" i="3"/>
  <c r="B218" i="3"/>
  <c r="B219" i="3"/>
  <c r="C179" i="3"/>
  <c r="A148" i="3"/>
  <c r="S155" i="3" s="1"/>
  <c r="A156" i="3"/>
  <c r="Q156" i="3" s="1"/>
  <c r="B147" i="3"/>
  <c r="C147" i="3" s="1"/>
  <c r="D147" i="3" s="1"/>
  <c r="E147" i="3" s="1"/>
  <c r="F147" i="3" s="1"/>
  <c r="T156" i="3" s="1"/>
  <c r="P156" i="3" s="1"/>
  <c r="C110" i="3"/>
  <c r="D110" i="3"/>
  <c r="C111" i="3"/>
  <c r="D111" i="3"/>
  <c r="N103" i="3"/>
  <c r="A113" i="3" s="1"/>
  <c r="B112" i="3"/>
  <c r="L41" i="1"/>
  <c r="K74" i="1"/>
  <c r="K78" i="1" s="1"/>
  <c r="K73" i="1"/>
  <c r="I75" i="1"/>
  <c r="I72" i="1"/>
  <c r="I74" i="1"/>
  <c r="I73" i="1"/>
  <c r="I42" i="8" l="1"/>
  <c r="K42" i="8" s="1"/>
  <c r="M42" i="8" s="1"/>
  <c r="E42" i="8"/>
  <c r="D42" i="8"/>
  <c r="C188" i="3"/>
  <c r="C249" i="3" s="1"/>
  <c r="F113" i="4" s="1"/>
  <c r="C184" i="3"/>
  <c r="C180" i="3"/>
  <c r="C241" i="3" s="1"/>
  <c r="F105" i="4" s="1"/>
  <c r="R101" i="4" s="1"/>
  <c r="K72" i="1"/>
  <c r="K77" i="1"/>
  <c r="N51" i="1" s="1"/>
  <c r="I78" i="1"/>
  <c r="K89" i="1"/>
  <c r="K90" i="1" s="1"/>
  <c r="I79" i="1"/>
  <c r="L89" i="1"/>
  <c r="L90" i="1" s="1"/>
  <c r="I76" i="1"/>
  <c r="I89" i="1"/>
  <c r="I90" i="1" s="1"/>
  <c r="I77" i="1"/>
  <c r="J89" i="1"/>
  <c r="J90" i="1" s="1"/>
  <c r="C182" i="3"/>
  <c r="C183" i="3"/>
  <c r="C244" i="3" s="1"/>
  <c r="F108" i="4" s="1"/>
  <c r="C192" i="3"/>
  <c r="C181" i="3"/>
  <c r="C112" i="3"/>
  <c r="D112" i="3"/>
  <c r="A155" i="3"/>
  <c r="Q155" i="3" s="1"/>
  <c r="B148" i="3"/>
  <c r="C148" i="3" s="1"/>
  <c r="D148" i="3" s="1"/>
  <c r="E148" i="3" s="1"/>
  <c r="F148" i="3" s="1"/>
  <c r="T155" i="3" s="1"/>
  <c r="P155" i="3" s="1"/>
  <c r="B113" i="3"/>
  <c r="F42" i="8" l="1"/>
  <c r="K76" i="1"/>
  <c r="K75" i="1"/>
  <c r="K79" i="1" s="1"/>
  <c r="K56" i="1"/>
  <c r="K59" i="1" s="1"/>
  <c r="K60" i="1"/>
  <c r="K63" i="1" s="1"/>
  <c r="K64" i="1"/>
  <c r="K67" i="1" s="1"/>
  <c r="K68" i="1"/>
  <c r="K71" i="1" s="1"/>
  <c r="C242" i="3"/>
  <c r="D181" i="3"/>
  <c r="C208" i="3"/>
  <c r="C253" i="3" s="1"/>
  <c r="F117" i="4" s="1"/>
  <c r="C193" i="3"/>
  <c r="C243" i="3"/>
  <c r="F107" i="4" s="1"/>
  <c r="D182" i="3"/>
  <c r="D243" i="3" s="1"/>
  <c r="G107" i="4" s="1"/>
  <c r="Q107" i="4" s="1"/>
  <c r="C185" i="3"/>
  <c r="C245" i="3"/>
  <c r="F109" i="4" s="1"/>
  <c r="R105" i="4" s="1"/>
  <c r="P169" i="3"/>
  <c r="P168" i="3"/>
  <c r="C113" i="3"/>
  <c r="D113" i="3"/>
  <c r="G42" i="8" l="1"/>
  <c r="N42" i="8" s="1"/>
  <c r="O42" i="8" s="1"/>
  <c r="A43" i="8" s="1"/>
  <c r="B43" i="8"/>
  <c r="H229" i="3"/>
  <c r="U229" i="3" s="1"/>
  <c r="F106" i="4"/>
  <c r="D180" i="3"/>
  <c r="D183" i="3" s="1"/>
  <c r="C246" i="3"/>
  <c r="C186" i="3"/>
  <c r="D185" i="3"/>
  <c r="D184" i="3" s="1"/>
  <c r="D187" i="3" s="1"/>
  <c r="C194" i="3"/>
  <c r="D194" i="3" s="1"/>
  <c r="D193" i="3"/>
  <c r="D192" i="3" s="1"/>
  <c r="C209" i="3"/>
  <c r="C254" i="3" s="1"/>
  <c r="D242" i="3"/>
  <c r="X156" i="3"/>
  <c r="W156" i="3"/>
  <c r="Y156" i="3"/>
  <c r="V156" i="3"/>
  <c r="Y155" i="3"/>
  <c r="X155" i="3"/>
  <c r="W155" i="3"/>
  <c r="V155" i="3"/>
  <c r="H43" i="8" l="1"/>
  <c r="I43" i="8" s="1"/>
  <c r="C43" i="8"/>
  <c r="J43" i="8"/>
  <c r="L43" i="8" s="1"/>
  <c r="H230" i="3"/>
  <c r="U230" i="3" s="1"/>
  <c r="F110" i="4"/>
  <c r="I229" i="3"/>
  <c r="G106" i="4"/>
  <c r="Q106" i="4" s="1"/>
  <c r="H232" i="3"/>
  <c r="U232" i="3" s="1"/>
  <c r="F118" i="4"/>
  <c r="C210" i="3"/>
  <c r="C255" i="3" s="1"/>
  <c r="F119" i="4" s="1"/>
  <c r="C195" i="3"/>
  <c r="C247" i="3"/>
  <c r="F111" i="4" s="1"/>
  <c r="D186" i="3"/>
  <c r="D247" i="3" s="1"/>
  <c r="G111" i="4" s="1"/>
  <c r="Q111" i="4" s="1"/>
  <c r="C187" i="3"/>
  <c r="D244" i="3"/>
  <c r="G108" i="4" s="1"/>
  <c r="Q108" i="4" s="1"/>
  <c r="D241" i="3"/>
  <c r="D246" i="3"/>
  <c r="W157" i="3"/>
  <c r="Y157" i="3"/>
  <c r="Y158" i="3" s="1"/>
  <c r="D43" i="8" l="1"/>
  <c r="E43" i="8"/>
  <c r="K43" i="8"/>
  <c r="M43" i="8" s="1"/>
  <c r="I230" i="3"/>
  <c r="G110" i="4"/>
  <c r="Q110" i="4" s="1"/>
  <c r="J229" i="3"/>
  <c r="G105" i="4"/>
  <c r="Q105" i="4" s="1"/>
  <c r="D248" i="3"/>
  <c r="G112" i="4" s="1"/>
  <c r="Q112" i="4" s="1"/>
  <c r="D245" i="3"/>
  <c r="C211" i="3"/>
  <c r="C256" i="3" s="1"/>
  <c r="F120" i="4" s="1"/>
  <c r="C189" i="3"/>
  <c r="D189" i="3" s="1"/>
  <c r="D250" i="3" s="1"/>
  <c r="I231" i="3" s="1"/>
  <c r="C248" i="3"/>
  <c r="F112" i="4" s="1"/>
  <c r="R109" i="4" s="1"/>
  <c r="D195" i="3"/>
  <c r="W158" i="3"/>
  <c r="W160" i="3" s="1"/>
  <c r="F43" i="8" l="1"/>
  <c r="G43" i="8" s="1"/>
  <c r="N43" i="8" s="1"/>
  <c r="O43" i="8" s="1"/>
  <c r="A44" i="8" s="1"/>
  <c r="J230" i="3"/>
  <c r="G109" i="4"/>
  <c r="Q109" i="4" s="1"/>
  <c r="D171" i="3"/>
  <c r="D198" i="3" s="1"/>
  <c r="D209" i="3" s="1"/>
  <c r="D211" i="3"/>
  <c r="C250" i="3"/>
  <c r="D188" i="3"/>
  <c r="D191" i="3" s="1"/>
  <c r="C190" i="3"/>
  <c r="D190" i="3" s="1"/>
  <c r="D251" i="3" s="1"/>
  <c r="W161" i="3"/>
  <c r="D199" i="3" s="1"/>
  <c r="D201" i="3" s="1"/>
  <c r="B44" i="8" l="1"/>
  <c r="C44" i="8"/>
  <c r="H44" i="8"/>
  <c r="J44" i="8"/>
  <c r="L44" i="8" s="1"/>
  <c r="D208" i="3"/>
  <c r="D210" i="3"/>
  <c r="D213" i="3"/>
  <c r="D254" i="3"/>
  <c r="H231" i="3"/>
  <c r="U231" i="3" s="1"/>
  <c r="F114" i="4"/>
  <c r="D202" i="3"/>
  <c r="F40" i="4"/>
  <c r="D203" i="3"/>
  <c r="F52" i="4"/>
  <c r="F53" i="4" s="1"/>
  <c r="C251" i="3"/>
  <c r="F115" i="4" s="1"/>
  <c r="G115" i="4"/>
  <c r="Q115" i="4" s="1"/>
  <c r="C191" i="3"/>
  <c r="C252" i="3" s="1"/>
  <c r="F116" i="4" s="1"/>
  <c r="R113" i="4" s="1"/>
  <c r="D256" i="3"/>
  <c r="G120" i="4" s="1"/>
  <c r="Q120" i="4" s="1"/>
  <c r="D215" i="3"/>
  <c r="I44" i="8" l="1"/>
  <c r="K44" i="8" s="1"/>
  <c r="M44" i="8" s="1"/>
  <c r="E44" i="8"/>
  <c r="D44" i="8"/>
  <c r="I232" i="3"/>
  <c r="G118" i="4"/>
  <c r="Q118" i="4" s="1"/>
  <c r="D214" i="3"/>
  <c r="D259" i="3" s="1"/>
  <c r="G123" i="4" s="1"/>
  <c r="Q123" i="4" s="1"/>
  <c r="D255" i="3"/>
  <c r="G119" i="4" s="1"/>
  <c r="Q119" i="4" s="1"/>
  <c r="D217" i="3"/>
  <c r="D258" i="3"/>
  <c r="D212" i="3"/>
  <c r="D257" i="3" s="1"/>
  <c r="G121" i="4" s="1"/>
  <c r="Q121" i="4" s="1"/>
  <c r="D253" i="3"/>
  <c r="C214" i="3"/>
  <c r="C259" i="3" s="1"/>
  <c r="F123" i="4" s="1"/>
  <c r="E277" i="3"/>
  <c r="L89" i="4" s="1"/>
  <c r="G114" i="4"/>
  <c r="Q114" i="4" s="1"/>
  <c r="C213" i="3"/>
  <c r="C258" i="3" s="1"/>
  <c r="C212" i="3"/>
  <c r="C257" i="3" s="1"/>
  <c r="C215" i="3"/>
  <c r="C216" i="3" s="1"/>
  <c r="F41" i="4"/>
  <c r="F44" i="4" s="1"/>
  <c r="D252" i="3"/>
  <c r="G116" i="4" s="1"/>
  <c r="Q116" i="4" s="1"/>
  <c r="D249" i="3"/>
  <c r="G113" i="4" s="1"/>
  <c r="Q113" i="4" s="1"/>
  <c r="D260" i="3"/>
  <c r="G124" i="4" s="1"/>
  <c r="Q124" i="4" s="1"/>
  <c r="F44" i="8" l="1"/>
  <c r="J233" i="3"/>
  <c r="I233" i="3"/>
  <c r="G122" i="4"/>
  <c r="Q122" i="4" s="1"/>
  <c r="D218" i="3"/>
  <c r="J231" i="3"/>
  <c r="J232" i="3"/>
  <c r="I52" i="4"/>
  <c r="I53" i="4" s="1"/>
  <c r="G117" i="4"/>
  <c r="Q117" i="4" s="1"/>
  <c r="F121" i="4"/>
  <c r="R117" i="4" s="1"/>
  <c r="H233" i="3"/>
  <c r="U233" i="3" s="1"/>
  <c r="F122" i="4"/>
  <c r="C219" i="3"/>
  <c r="L66" i="3" s="1"/>
  <c r="C218" i="3"/>
  <c r="L65" i="3" s="1"/>
  <c r="C217" i="3"/>
  <c r="L64" i="3" s="1"/>
  <c r="C260" i="3"/>
  <c r="F124" i="4" s="1"/>
  <c r="L63" i="3"/>
  <c r="G44" i="8" l="1"/>
  <c r="N44" i="8" s="1"/>
  <c r="O44" i="8" s="1"/>
  <c r="A45" i="8" s="1"/>
  <c r="B45" i="8"/>
  <c r="C261" i="3"/>
  <c r="L67" i="3"/>
  <c r="C262" i="3"/>
  <c r="L68" i="3"/>
  <c r="L69" i="3"/>
  <c r="C263" i="3"/>
  <c r="F127" i="4" s="1"/>
  <c r="C264" i="3"/>
  <c r="F128" i="4" s="1"/>
  <c r="L70" i="3"/>
  <c r="J45" i="8" l="1"/>
  <c r="L45" i="8" s="1"/>
  <c r="H45" i="8"/>
  <c r="I45" i="8" s="1"/>
  <c r="C45" i="8"/>
  <c r="F125" i="4"/>
  <c r="R121" i="4" s="1"/>
  <c r="H234" i="3"/>
  <c r="U234" i="3" s="1"/>
  <c r="F126" i="4"/>
  <c r="C268" i="3"/>
  <c r="F132" i="4" s="1"/>
  <c r="L74" i="3"/>
  <c r="C272" i="3" s="1"/>
  <c r="F136" i="4" s="1"/>
  <c r="L73" i="3"/>
  <c r="C271" i="3" s="1"/>
  <c r="F135" i="4" s="1"/>
  <c r="C267" i="3"/>
  <c r="F131" i="4" s="1"/>
  <c r="L72" i="3"/>
  <c r="C270" i="3" s="1"/>
  <c r="C266" i="3"/>
  <c r="L71" i="3"/>
  <c r="C269" i="3" s="1"/>
  <c r="C265" i="3"/>
  <c r="K45" i="8" l="1"/>
  <c r="M45" i="8" s="1"/>
  <c r="D45" i="8"/>
  <c r="E45" i="8"/>
  <c r="F133" i="4"/>
  <c r="R129" i="4" s="1"/>
  <c r="F129" i="4"/>
  <c r="R125" i="4" s="1"/>
  <c r="H235" i="3"/>
  <c r="U235" i="3" s="1"/>
  <c r="F130" i="4"/>
  <c r="H236" i="3"/>
  <c r="U236" i="3" s="1"/>
  <c r="F134" i="4"/>
  <c r="F45" i="8" l="1"/>
  <c r="G45" i="8" s="1"/>
  <c r="N45" i="8" s="1"/>
  <c r="O45" i="8" s="1"/>
  <c r="A46" i="8" s="1"/>
  <c r="B46" i="8" l="1"/>
  <c r="J46" i="8"/>
  <c r="L46" i="8" s="1"/>
  <c r="C46" i="8"/>
  <c r="H46" i="8"/>
  <c r="I46" i="8" l="1"/>
  <c r="K46" i="8" s="1"/>
  <c r="M46" i="8" s="1"/>
  <c r="D46" i="8"/>
  <c r="E46" i="8"/>
  <c r="F46" i="8" l="1"/>
  <c r="G46" i="8" s="1"/>
  <c r="N46" i="8" s="1"/>
  <c r="O46" i="8" s="1"/>
  <c r="A47" i="8" s="1"/>
  <c r="B47" i="8" l="1"/>
  <c r="H47" i="8"/>
  <c r="J47" i="8"/>
  <c r="L47" i="8" s="1"/>
  <c r="C47" i="8"/>
  <c r="I47" i="8" l="1"/>
  <c r="K47" i="8" s="1"/>
  <c r="M47" i="8" s="1"/>
  <c r="E47" i="8"/>
  <c r="D47" i="8"/>
  <c r="F47" i="8" l="1"/>
  <c r="G47" i="8" l="1"/>
  <c r="N47" i="8" s="1"/>
  <c r="O47" i="8" s="1"/>
  <c r="A48" i="8" s="1"/>
  <c r="B48" i="8"/>
  <c r="H48" i="8" l="1"/>
  <c r="I48" i="8" s="1"/>
  <c r="J48" i="8"/>
  <c r="L48" i="8" s="1"/>
  <c r="C48" i="8"/>
  <c r="E48" i="8" l="1"/>
  <c r="D48" i="8"/>
  <c r="K48" i="8"/>
  <c r="M48" i="8" s="1"/>
  <c r="F48" i="8" l="1"/>
  <c r="G48" i="8" l="1"/>
  <c r="N48" i="8" s="1"/>
  <c r="O48" i="8" s="1"/>
  <c r="A49" i="8" s="1"/>
  <c r="B49" i="8"/>
  <c r="C49" i="8" l="1"/>
  <c r="J49" i="8"/>
  <c r="L49" i="8" s="1"/>
  <c r="H49" i="8"/>
  <c r="I49" i="8" s="1"/>
  <c r="K49" i="8" l="1"/>
  <c r="M49" i="8" s="1"/>
  <c r="E49" i="8"/>
  <c r="D49" i="8"/>
  <c r="F49" i="8" l="1"/>
  <c r="G49" i="8" l="1"/>
  <c r="N49" i="8" s="1"/>
  <c r="O49" i="8" s="1"/>
  <c r="A50" i="8" s="1"/>
  <c r="B50" i="8"/>
  <c r="C50" i="8" l="1"/>
  <c r="H50" i="8"/>
  <c r="I50" i="8" s="1"/>
  <c r="J50" i="8"/>
  <c r="L50" i="8" s="1"/>
  <c r="K50" i="8" l="1"/>
  <c r="M50" i="8" s="1"/>
  <c r="E50" i="8"/>
  <c r="D50" i="8"/>
  <c r="F50" i="8" l="1"/>
  <c r="G50" i="8" s="1"/>
  <c r="N50" i="8" s="1"/>
  <c r="O50" i="8" s="1"/>
  <c r="A51" i="8" s="1"/>
  <c r="B51" i="8" l="1"/>
  <c r="H51" i="8"/>
  <c r="J51" i="8"/>
  <c r="L51" i="8" s="1"/>
  <c r="C51" i="8"/>
  <c r="I51" i="8" l="1"/>
  <c r="K51" i="8" s="1"/>
  <c r="M51" i="8" s="1"/>
  <c r="D51" i="8"/>
  <c r="E51" i="8"/>
  <c r="F51" i="8" l="1"/>
  <c r="G51" i="8" s="1"/>
  <c r="N51" i="8" s="1"/>
  <c r="O51" i="8" s="1"/>
  <c r="A52" i="8" s="1"/>
  <c r="B52" i="8" l="1"/>
  <c r="C52" i="8"/>
  <c r="H52" i="8"/>
  <c r="J52" i="8"/>
  <c r="L52" i="8" s="1"/>
  <c r="I52" i="8" l="1"/>
  <c r="K52" i="8" s="1"/>
  <c r="M52" i="8" s="1"/>
  <c r="D52" i="8"/>
  <c r="E52" i="8"/>
  <c r="F52" i="8" l="1"/>
  <c r="G52" i="8" s="1"/>
  <c r="N52" i="8" s="1"/>
  <c r="O52" i="8" s="1"/>
  <c r="A53" i="8" s="1"/>
  <c r="B53" i="8" l="1"/>
  <c r="C53" i="8"/>
  <c r="H53" i="8"/>
  <c r="J53" i="8"/>
  <c r="L53" i="8" s="1"/>
  <c r="I53" i="8" l="1"/>
  <c r="K53" i="8" s="1"/>
  <c r="M53" i="8" s="1"/>
  <c r="D53" i="8"/>
  <c r="E53" i="8"/>
  <c r="F53" i="8" l="1"/>
  <c r="G53" i="8" s="1"/>
  <c r="N53" i="8" s="1"/>
  <c r="O53" i="8" s="1"/>
  <c r="A54" i="8" s="1"/>
  <c r="B54" i="8" l="1"/>
  <c r="C54" i="8"/>
  <c r="J54" i="8"/>
  <c r="L54" i="8" s="1"/>
  <c r="H54" i="8"/>
  <c r="I54" i="8" l="1"/>
  <c r="K54" i="8" s="1"/>
  <c r="M54" i="8" s="1"/>
  <c r="D54" i="8"/>
  <c r="E54" i="8"/>
  <c r="F54" i="8" l="1"/>
  <c r="G54" i="8" s="1"/>
  <c r="N54" i="8" s="1"/>
  <c r="O54" i="8" s="1"/>
  <c r="A55" i="8" s="1"/>
  <c r="B55" i="8" l="1"/>
  <c r="C55" i="8"/>
  <c r="H55" i="8"/>
  <c r="J55" i="8"/>
  <c r="L55" i="8" s="1"/>
  <c r="I55" i="8" l="1"/>
  <c r="K55" i="8" s="1"/>
  <c r="M55" i="8" s="1"/>
  <c r="D55" i="8"/>
  <c r="E55" i="8"/>
  <c r="F55" i="8" l="1"/>
  <c r="G55" i="8" s="1"/>
  <c r="N55" i="8" s="1"/>
  <c r="O55" i="8" s="1"/>
  <c r="A56" i="8" s="1"/>
  <c r="B56" i="8" l="1"/>
  <c r="H56" i="8"/>
  <c r="J56" i="8"/>
  <c r="L56" i="8" s="1"/>
  <c r="C56" i="8"/>
  <c r="I56" i="8" l="1"/>
  <c r="K56" i="8" s="1"/>
  <c r="M56" i="8" s="1"/>
  <c r="D56" i="8"/>
  <c r="E56" i="8"/>
  <c r="F56" i="8" l="1"/>
  <c r="G56" i="8" s="1"/>
  <c r="N56" i="8" s="1"/>
  <c r="O56" i="8" s="1"/>
  <c r="A57" i="8" s="1"/>
  <c r="B57" i="8" l="1"/>
  <c r="H57" i="8"/>
  <c r="J57" i="8"/>
  <c r="L57" i="8" s="1"/>
  <c r="C57" i="8"/>
  <c r="I57" i="8" l="1"/>
  <c r="K57" i="8" s="1"/>
  <c r="M57" i="8" s="1"/>
  <c r="D57" i="8"/>
  <c r="E57" i="8"/>
  <c r="F57" i="8" l="1"/>
  <c r="B58" i="8" s="1"/>
  <c r="G57" i="8" l="1"/>
  <c r="N57" i="8" s="1"/>
  <c r="O57" i="8" s="1"/>
  <c r="A58" i="8" s="1"/>
  <c r="C58" i="8" s="1"/>
  <c r="J58" i="8" l="1"/>
  <c r="L58" i="8" s="1"/>
  <c r="H58" i="8"/>
  <c r="I58" i="8" s="1"/>
  <c r="E58" i="8"/>
  <c r="D58" i="8"/>
  <c r="K58" i="8" l="1"/>
  <c r="M58" i="8" s="1"/>
  <c r="F58" i="8"/>
  <c r="G58" i="8" l="1"/>
  <c r="N58" i="8" s="1"/>
  <c r="O58" i="8" s="1"/>
  <c r="A59" i="8" s="1"/>
  <c r="B59" i="8"/>
  <c r="H59" i="8" l="1"/>
  <c r="I59" i="8" s="1"/>
  <c r="C59" i="8"/>
  <c r="J59" i="8"/>
  <c r="L59" i="8" s="1"/>
  <c r="E59" i="8" l="1"/>
  <c r="D59" i="8"/>
  <c r="K59" i="8"/>
  <c r="M59" i="8" s="1"/>
  <c r="F59" i="8" l="1"/>
  <c r="G59" i="8" l="1"/>
  <c r="N59" i="8" s="1"/>
  <c r="O59" i="8" s="1"/>
  <c r="A60" i="8" s="1"/>
  <c r="B60" i="8"/>
  <c r="C60" i="8" l="1"/>
  <c r="J60" i="8"/>
  <c r="L60" i="8" s="1"/>
  <c r="H60" i="8"/>
  <c r="I60" i="8" s="1"/>
  <c r="K60" i="8" l="1"/>
  <c r="M60" i="8" s="1"/>
  <c r="D60" i="8"/>
  <c r="E60" i="8"/>
  <c r="F60" i="8" l="1"/>
  <c r="G60" i="8" s="1"/>
  <c r="N60" i="8" s="1"/>
  <c r="O60" i="8" s="1"/>
  <c r="A61" i="8" s="1"/>
  <c r="B61" i="8" l="1"/>
  <c r="H61" i="8"/>
  <c r="J61" i="8"/>
  <c r="L61" i="8" s="1"/>
  <c r="C61" i="8"/>
  <c r="I61" i="8" l="1"/>
  <c r="K61" i="8" s="1"/>
  <c r="M61" i="8" s="1"/>
  <c r="E61" i="8"/>
  <c r="D61" i="8"/>
  <c r="F61" i="8" l="1"/>
  <c r="G61" i="8" s="1"/>
  <c r="N61" i="8" l="1"/>
  <c r="O61" i="8" s="1"/>
  <c r="G62" i="8"/>
  <c r="E2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F7" authorId="0" shapeId="0" xr:uid="{00000000-0006-0000-0000-000001000000}">
      <text>
        <r>
          <rPr>
            <b/>
            <sz val="9"/>
            <color indexed="81"/>
            <rFont val="Tahoma"/>
            <family val="2"/>
          </rPr>
          <t>Recomendaciones:
Canal en tierra = 1/3
Canal revestido = 1/5</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D16" authorId="0" shapeId="0" xr:uid="{00000000-0006-0000-0100-000001000000}">
      <text>
        <r>
          <rPr>
            <b/>
            <sz val="9"/>
            <color indexed="81"/>
            <rFont val="Tahoma"/>
            <family val="2"/>
          </rPr>
          <t>Tipo             Kc        Ke</t>
        </r>
        <r>
          <rPr>
            <sz val="9"/>
            <color indexed="81"/>
            <rFont val="Tahoma"/>
            <family val="2"/>
          </rPr>
          <t xml:space="preserve">
Recta            0.30     0.50</t>
        </r>
      </text>
    </comment>
    <comment ref="D17" authorId="0" shapeId="0" xr:uid="{00000000-0006-0000-0100-000002000000}">
      <text>
        <r>
          <rPr>
            <b/>
            <sz val="9"/>
            <color indexed="81"/>
            <rFont val="Tahoma"/>
            <family val="2"/>
          </rPr>
          <t>Angulo de transición:
12.50°
22.50°</t>
        </r>
        <r>
          <rPr>
            <sz val="9"/>
            <color indexed="81"/>
            <rFont val="Tahoma"/>
            <family val="2"/>
          </rPr>
          <t xml:space="preserve">
</t>
        </r>
      </text>
    </comment>
    <comment ref="N18" authorId="0" shapeId="0" xr:uid="{00000000-0006-0000-0100-000003000000}">
      <text>
        <r>
          <rPr>
            <b/>
            <sz val="9"/>
            <color indexed="81"/>
            <rFont val="Tahoma"/>
            <family val="2"/>
          </rPr>
          <t xml:space="preserve">Tipo             Kc        Ke
Alabeada       0.10      0.20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D44" authorId="0" shapeId="0" xr:uid="{00000000-0006-0000-0300-000001000000}">
      <text>
        <r>
          <rPr>
            <sz val="9"/>
            <color indexed="81"/>
            <rFont val="Tahoma"/>
            <family val="2"/>
          </rPr>
          <t xml:space="preserve">Contempla transición de entrada, canal de la rápida, trayectoria, colchón amortiguador y transición de salida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C29" authorId="0" shapeId="0" xr:uid="{00000000-0006-0000-0200-000001000000}">
      <text>
        <r>
          <rPr>
            <sz val="9"/>
            <color indexed="81"/>
            <rFont val="Tahoma"/>
            <family val="2"/>
          </rPr>
          <t xml:space="preserve">Selección contemplando la información de las formulas anteriores
</t>
        </r>
      </text>
    </comment>
    <comment ref="D38" authorId="0" shapeId="0" xr:uid="{00000000-0006-0000-0200-000002000000}">
      <text>
        <r>
          <rPr>
            <b/>
            <sz val="9"/>
            <color indexed="81"/>
            <rFont val="Tahoma"/>
            <family val="2"/>
          </rPr>
          <t>Mínimo talud recomendado para realizar la modelación en IBER</t>
        </r>
      </text>
    </comment>
    <comment ref="H38" authorId="0" shapeId="0" xr:uid="{00000000-0006-0000-0200-000003000000}">
      <text>
        <r>
          <rPr>
            <b/>
            <sz val="9"/>
            <color indexed="81"/>
            <rFont val="Tahoma"/>
            <family val="2"/>
          </rPr>
          <t>Angulo de transición:
12.50°
22.50°</t>
        </r>
        <r>
          <rPr>
            <sz val="9"/>
            <color indexed="81"/>
            <rFont val="Tahoma"/>
            <family val="2"/>
          </rPr>
          <t xml:space="preserve">
</t>
        </r>
      </text>
    </comment>
    <comment ref="M38" authorId="0" shapeId="0" xr:uid="{00000000-0006-0000-0200-000004000000}">
      <text>
        <r>
          <rPr>
            <b/>
            <sz val="9"/>
            <color indexed="81"/>
            <rFont val="Tahoma"/>
            <family val="2"/>
          </rPr>
          <t>Mínimo talud recomendado para realizar la modelación en IBER</t>
        </r>
      </text>
    </comment>
    <comment ref="Q38" authorId="0" shapeId="0" xr:uid="{00000000-0006-0000-0200-000005000000}">
      <text>
        <r>
          <rPr>
            <b/>
            <sz val="9"/>
            <color indexed="81"/>
            <rFont val="Tahoma"/>
            <family val="2"/>
          </rPr>
          <t>Angulo de transición:
12.50°
22.50°</t>
        </r>
        <r>
          <rPr>
            <sz val="9"/>
            <color indexed="81"/>
            <rFont val="Tahoma"/>
            <family val="2"/>
          </rPr>
          <t xml:space="preserve">
</t>
        </r>
      </text>
    </comment>
    <comment ref="D41" authorId="0" shapeId="0" xr:uid="{00000000-0006-0000-0200-000006000000}">
      <text>
        <r>
          <rPr>
            <b/>
            <sz val="9"/>
            <color indexed="81"/>
            <rFont val="Tahoma"/>
            <family val="2"/>
          </rPr>
          <t>Coeficiente para concreto</t>
        </r>
      </text>
    </comment>
    <comment ref="M41" authorId="0" shapeId="0" xr:uid="{00000000-0006-0000-0200-000007000000}">
      <text>
        <r>
          <rPr>
            <b/>
            <sz val="9"/>
            <color indexed="81"/>
            <rFont val="Tahoma"/>
            <family val="2"/>
          </rPr>
          <t>Coeficiente para concreto</t>
        </r>
      </text>
    </comment>
    <comment ref="A61" authorId="0" shapeId="0" xr:uid="{00000000-0006-0000-0200-000008000000}">
      <text>
        <r>
          <rPr>
            <b/>
            <sz val="9"/>
            <color indexed="81"/>
            <rFont val="Tahoma"/>
            <family val="2"/>
          </rPr>
          <t>Longitud deseada que se proyecte el canal de la entrada de la transición hacia aguas arriba.</t>
        </r>
      </text>
    </comment>
    <comment ref="J61" authorId="0" shapeId="0" xr:uid="{00000000-0006-0000-0200-000009000000}">
      <text>
        <r>
          <rPr>
            <b/>
            <sz val="9"/>
            <color indexed="81"/>
            <rFont val="Tahoma"/>
            <family val="2"/>
          </rPr>
          <t>Longitud deseada que se proyecte el canal de la entrada de la transición hacia aguas arriba.</t>
        </r>
      </text>
    </comment>
    <comment ref="W160" authorId="0" shapeId="0" xr:uid="{00000000-0006-0000-0200-00000A000000}">
      <text>
        <r>
          <rPr>
            <b/>
            <sz val="9"/>
            <color indexed="81"/>
            <rFont val="Tahoma"/>
            <family val="2"/>
          </rPr>
          <t>Fondo del colchón amortiguador</t>
        </r>
      </text>
    </comment>
    <comment ref="W161" authorId="0" shapeId="0" xr:uid="{00000000-0006-0000-0200-00000B000000}">
      <text>
        <r>
          <rPr>
            <b/>
            <sz val="9"/>
            <color indexed="81"/>
            <rFont val="Tahoma"/>
            <family val="2"/>
          </rPr>
          <t>Tirante conjugado menor</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Fernando Watson</author>
  </authors>
  <commentList>
    <comment ref="A24" authorId="0" shapeId="0" xr:uid="{00000000-0006-0000-0500-000001000000}">
      <text>
        <r>
          <rPr>
            <sz val="9"/>
            <color indexed="81"/>
            <rFont val="Tahoma"/>
            <family val="2"/>
          </rPr>
          <t xml:space="preserve">La constante "a" varia su valor en función del diámetro de la partícula 
</t>
        </r>
      </text>
    </comment>
    <comment ref="C69" authorId="0" shapeId="0" xr:uid="{00000000-0006-0000-0500-000002000000}">
      <text>
        <r>
          <rPr>
            <b/>
            <sz val="9"/>
            <color indexed="81"/>
            <rFont val="Tahoma"/>
            <family val="2"/>
          </rPr>
          <t>Creager C=2
Cresta aguda C=1.84</t>
        </r>
      </text>
    </comment>
  </commentList>
</comments>
</file>

<file path=xl/sharedStrings.xml><?xml version="1.0" encoding="utf-8"?>
<sst xmlns="http://schemas.openxmlformats.org/spreadsheetml/2006/main" count="978" uniqueCount="497">
  <si>
    <t>Diseño de Estructuras Hidráulicas</t>
  </si>
  <si>
    <r>
      <t>Diseño de Obras Hidráulicas </t>
    </r>
    <r>
      <rPr>
        <sz val="10"/>
        <color rgb="FF333333"/>
        <rFont val="Source Sans Pro"/>
        <family val="2"/>
      </rPr>
      <t>© 2024 by </t>
    </r>
    <r>
      <rPr>
        <sz val="10"/>
        <color rgb="FFD14500"/>
        <rFont val="Source Sans Pro"/>
        <family val="2"/>
      </rPr>
      <t>Fernando Watson Hernández </t>
    </r>
    <r>
      <rPr>
        <sz val="10"/>
        <color rgb="FF333333"/>
        <rFont val="Source Sans Pro"/>
        <family val="2"/>
      </rPr>
      <t>is licensed under </t>
    </r>
    <r>
      <rPr>
        <sz val="10"/>
        <color rgb="FFD14500"/>
        <rFont val="Source Sans Pro"/>
        <family val="2"/>
      </rPr>
      <t>CC BY-NC-ND 4.0 </t>
    </r>
  </si>
  <si>
    <t>Instituto Tecnologico de Costa Rica</t>
  </si>
  <si>
    <t>Escuela de Ingeniería Agrícola del Instituto Tecnológico de Costa Rica</t>
  </si>
  <si>
    <t xml:space="preserve">Herramienta para el diseño de estructuras hidráulicas </t>
  </si>
  <si>
    <t>Curso Diseño de Estructuras Hidráulicas; Código  IA-4307</t>
  </si>
  <si>
    <t>Desarrollado por:  Ing. Fernando Watson Hernández, M.Sc</t>
  </si>
  <si>
    <t>Año 2024, Versión 1.0 Beta</t>
  </si>
  <si>
    <t>Imagen realizada con ayuda de inteligencia artificial</t>
  </si>
  <si>
    <t>Instrucciones generales:</t>
  </si>
  <si>
    <t>1. La herramienta permite el dimensionamiento de canales rectangulares y trapezoidales</t>
  </si>
  <si>
    <t>2. Facilita el diseño de las siguientes estructuras hidráulicas: transiciones, rápidos, caídas, desarenadores, puentes canal y vertederos.</t>
  </si>
  <si>
    <t>3. Es una herramienta técnica especifica para ser utilizada por estudiantes que conozcan los términos y metodologías empleadas.</t>
  </si>
  <si>
    <t xml:space="preserve">4: Las celdas de color blanco son las variables de entrada requeridas para la realización de los cálculos. </t>
  </si>
  <si>
    <t>5. Dentro de los  resultados que se obtienen para todas las estructuras con excepción del Desarenador, se encuentra una tabla de puntos x,y,z que permite que el diseño sea  exportado.</t>
  </si>
  <si>
    <t>6. Sí desea ver un ejemplo puede realizar click aquí.</t>
  </si>
  <si>
    <t>Introducción</t>
  </si>
  <si>
    <t xml:space="preserve">Esta herramienta de diseño de estructuras hidráulicas ha sido creada para el curso de Diseño de Estructuras Hidráulicas de la Escuela de Ingeniería Agrícola en el Instituto Tecnológico de Costa Rica. Desarrollada con base en literatura técnica fundamental, como Obras Hidráulicas de Felipe Arreguín Cortés (2021), Criterios de Diseño de Obras Hidráulicas para la Formulación de Proyectos Hidráulicos Multisectoriales y de Afianzamiento Hídrico (2015), y Diseño de Estructuras Hidráulicas de Máximo Villón (2005), esta plataforma integra módulos específicos que facilitan el diseño de estructuras hidráulicas, como transiciones, rápidos, caídas, desarenadores, puentes canal y vertederos laterales.
El curso adopta un enfoque de diseño iterativo, una metodología en la que el diseño se desarrolla mediante un ciclo de mejoras continuas. En cada iteración, el diseño es evaluado y ajustado de acuerdo con los resultados obtenidos, permitiendo un refinamiento progresivo hasta alcanzar un modelo que cumpla con los requisitos funcionales y de seguridad. Este enfoque es particularmente útil en el diseño hidráulico, ya que considera la variabilidad de las condiciones del flujo, el comportamiento de los materiales y la respuesta de la estructura bajo diferentes escenarios. La herramienta, en este contexto, proporciona una base sólida para realizar cálculos y ajustes iterativos, permitiendo que los estudiantes experimenten y refinen sus diseños a través de simulaciones y pruebas realistas, fortaleciendo su comprensión de los principios hidrodinámicos y del comportamiento estructural en obras hidráulicas.
</t>
  </si>
  <si>
    <t>Este software ha sido desarrollado con fines educativos, en el contexto del curso de Diseño de Estructuras Hidráulicas, y utiliza un enfoque iterativo de diseño. Esto significa que el proceso de diseño debe incluir simulaciones y mejoras continuas en cada iteración para obtener un producto validado. Por lo que, no nos hacemos responsables de los resultados derivados de su aplicación en proyectos reales ni de los posibles daños o pérdidas causados por el uso sin una guía adecuada o fuera de este contexto.</t>
  </si>
  <si>
    <t>Estructuras</t>
  </si>
  <si>
    <r>
      <rPr>
        <b/>
        <sz val="11"/>
        <color theme="1"/>
        <rFont val="Arial"/>
        <family val="2"/>
      </rPr>
      <t>Transiciones Rectas y Alabeadas:</t>
    </r>
    <r>
      <rPr>
        <sz val="11"/>
        <color theme="1"/>
        <rFont val="Arial"/>
        <family val="2"/>
      </rPr>
      <t xml:space="preserve">
Las transiciones se utilizan para modificar gradualmente la sección de un canal, reduciendo la energía perdida por cambios abruptos en la geometría del flujo. Las transiciones rectas permiten un cambio lineal en la sección transversal, mientras que las transiciones alabeadas modifican tanto el perfil como la dirección, ideal para mejorar la estabilidad en condiciones de cambio en el canal. Estas estructuras son esenciales para evitar erosión y optimizar el flujo en canales con cambios de ancho o profundidad.
</t>
    </r>
    <r>
      <rPr>
        <b/>
        <sz val="11"/>
        <color theme="1"/>
        <rFont val="Arial"/>
        <family val="2"/>
      </rPr>
      <t>Rápida:</t>
    </r>
    <r>
      <rPr>
        <sz val="11"/>
        <color theme="1"/>
        <rFont val="Arial"/>
        <family val="2"/>
      </rPr>
      <t xml:space="preserve">
Una rápida es una sección de alta pendiente diseñada para incrementar la velocidad del flujo en un canal específico. Su propósito es garantizar que el flujo mantenga una energía cinética elevada para vencer obstáculos o desniveles en el canal. Las rápidas son esenciales en canales donde es necesario minimizar la sedimentación y prevenir la erosión del lecho debido a velocidades insuficientes en pendientes pronunciadas.
</t>
    </r>
    <r>
      <rPr>
        <b/>
        <sz val="11"/>
        <color theme="1"/>
        <rFont val="Arial"/>
        <family val="2"/>
      </rPr>
      <t>Caída:</t>
    </r>
    <r>
      <rPr>
        <sz val="11"/>
        <color theme="1"/>
        <rFont val="Arial"/>
        <family val="2"/>
      </rPr>
      <t xml:space="preserve">
Las caídas hidráulicas permiten que el agua en un canal descienda de un nivel a otro de forma controlada, disipando energía y reduciendo la erosión. Al disminuir la velocidad del flujo en tramos inclinados, estas estructuras ayudan a estabilizar el flujo aguas abajo y proteger el lecho del canal, al mismo tiempo que facilitan la transición en zonas de gran desnivel.
</t>
    </r>
    <r>
      <rPr>
        <b/>
        <sz val="11"/>
        <color theme="1"/>
        <rFont val="Arial"/>
        <family val="2"/>
      </rPr>
      <t>Desarenador:</t>
    </r>
    <r>
      <rPr>
        <sz val="11"/>
        <color theme="1"/>
        <rFont val="Arial"/>
        <family val="2"/>
      </rPr>
      <t xml:space="preserve">
Los desarenadores en canales eliminan partículas suspendidas del agua para proteger infraestructuras aguas abajo, como turbinas o equipos de bombeo, de desgaste y obstrucción. Estas estructuras incluyen cámaras de sedimentación que permiten que las partículas más pesadas se depositen, asegurando un flujo de agua limpio y reduciendo la carga de sedimentos en el canal.
</t>
    </r>
    <r>
      <rPr>
        <b/>
        <sz val="11"/>
        <color theme="1"/>
        <rFont val="Arial"/>
        <family val="2"/>
      </rPr>
      <t>Puente Canal:</t>
    </r>
    <r>
      <rPr>
        <sz val="11"/>
        <color theme="1"/>
        <rFont val="Arial"/>
        <family val="2"/>
      </rPr>
      <t xml:space="preserve">
Un puente canal permite el cruce del flujo de agua de un canal sobre barreras o depresiones sin interrupciones ni pérdidas significativas de carga. Soporta tanto el peso del agua como las cargas externas, como el tráfico o el terreno. Este tipo de estructura es crucial en zonas de riego donde el canal debe atravesar caminos, otros canales o depresiones.
</t>
    </r>
    <r>
      <rPr>
        <b/>
        <sz val="11"/>
        <color theme="1"/>
        <rFont val="Arial"/>
        <family val="2"/>
      </rPr>
      <t>Vertedero Lateral:</t>
    </r>
    <r>
      <rPr>
        <sz val="11"/>
        <color theme="1"/>
        <rFont val="Arial"/>
        <family val="2"/>
      </rPr>
      <t xml:space="preserve">
Los vertederos laterales se diseñan para evacuar el exceso de agua de un canal, desviando el flujo excedente a canales de drenaje u otras vías de descarga. Son fundamentales para manejar caudales elevados, previniendo desbordamientos y daños a las estructuras aguas abajo. El diseño considera la capacidad de captación del vertedero para asegurar una descarga controlada del flujo en períodos de crecidas.</t>
    </r>
  </si>
  <si>
    <t>Diseño iterativo</t>
  </si>
  <si>
    <r>
      <t>El</t>
    </r>
    <r>
      <rPr>
        <b/>
        <sz val="11"/>
        <color theme="1"/>
        <rFont val="Arial"/>
        <family val="2"/>
      </rPr>
      <t xml:space="preserve"> diseño iterativo </t>
    </r>
    <r>
      <rPr>
        <sz val="11"/>
        <color theme="1"/>
        <rFont val="Arial"/>
        <family val="2"/>
      </rPr>
      <t xml:space="preserve">es un proceso en el que se desarrollan y prueban soluciones de forma cíclica, ajustando y mejorando el diseño con cada iteración. Este enfoque es especialmente útil en el diseño de estructuras hidráulicas, donde la precisión y la adaptación al entorno natural son clave. En el contexto de obras hidráulicas, cada fase de diseño se somete a pruebas y evaluaciones, realizando ajustes según los resultados obtenidos para lograr una estructura que funcione óptimamente bajo diferentes condiciones.
En este proceso iterativo, cada ciclo incluye la identificación de requerimientos, desarrollo de una solución preliminar, simulación o modelación del flujo, y análisis de resultados. Si los resultados no cumplen los criterios esperados, el diseño se ajusta y se vuelve a evaluar. Este enfoque permite a los diseñadores identificar problemas temprano y reducir el riesgo de errores en fases avanzadas.
</t>
    </r>
  </si>
  <si>
    <t>Ventajas del diseño iterativo:</t>
  </si>
  <si>
    <r>
      <rPr>
        <b/>
        <sz val="11"/>
        <color theme="1"/>
        <rFont val="Arial"/>
        <family val="2"/>
      </rPr>
      <t>Adaptación a condiciones reales:</t>
    </r>
    <r>
      <rPr>
        <sz val="11"/>
        <color theme="1"/>
        <rFont val="Arial"/>
        <family val="2"/>
      </rPr>
      <t xml:space="preserve"> Permite ajustar el diseño en función de la respuesta obtenida, especialmente útil en canales con variabilidad de caudal o sedimentación.</t>
    </r>
  </si>
  <si>
    <r>
      <rPr>
        <b/>
        <sz val="11"/>
        <color theme="1"/>
        <rFont val="Arial"/>
        <family val="2"/>
      </rPr>
      <t>Optimización progresiva:</t>
    </r>
    <r>
      <rPr>
        <sz val="11"/>
        <color theme="1"/>
        <rFont val="Arial"/>
        <family val="2"/>
      </rPr>
      <t xml:space="preserve"> Con cada iteración, se optimizan aspectos específicos del diseño, como la estabilidad del flujo o la eficiencia en la disipación de energía.</t>
    </r>
  </si>
  <si>
    <r>
      <rPr>
        <b/>
        <sz val="11"/>
        <color theme="1"/>
        <rFont val="Arial"/>
        <family val="2"/>
      </rPr>
      <t>Reducción de errores:</t>
    </r>
    <r>
      <rPr>
        <sz val="11"/>
        <color theme="1"/>
        <rFont val="Arial"/>
        <family val="2"/>
      </rPr>
      <t xml:space="preserve"> Al identificar problemas tempranos y hacer ajustes, se minimiza la posibilidad de fallas estructurales.</t>
    </r>
  </si>
  <si>
    <t>Imegen realizada con ayuda de inteligencia artificial</t>
  </si>
  <si>
    <t>Como citar:</t>
  </si>
  <si>
    <t>APA</t>
  </si>
  <si>
    <t>Watson Hernández, F. (2024). Diseño de estructuras hidráulicas (Versión 1.0, Beta). https://www.tec.ac.cr/fernando-watson-hernandez</t>
  </si>
  <si>
    <t>MLA</t>
  </si>
  <si>
    <t>Watson Hernández, Fernando. Diseño de estructuras hidráulicas. Versión 1.0, Beta, 14 abril 2024, https://www.tec.ac.cr/fernando-watson-hernandez.</t>
  </si>
  <si>
    <t>Chicago</t>
  </si>
  <si>
    <t>Watson Hernández, Fernando. Diseño de estructuras hidráulicas. Versión 1.0, Beta. 14 de abril de 2024. https://www.tec.ac.cr/fernando-watson-hernandez.</t>
  </si>
  <si>
    <t>IEEE</t>
  </si>
  <si>
    <t>F. Watson Hernández, Diseño de estructuras hidráulicas, versión 1.0, Beta. [En línea]. Disponible en: https://www.tec.ac.cr/fernando-watson-hernandez. [Consultado: 14 de abril de 2024].</t>
  </si>
  <si>
    <t>Bibliografía</t>
  </si>
  <si>
    <t>Arreguín Cortés, F. (2021). Obras hidráulicas (1ª ed.). Universidad Nacional Autónoma de México, Instituto de Ingeniería.</t>
  </si>
  <si>
    <t>Autoridad Nacional del Agua (ANA). (2015). Criterios de diseño de obras hidráulicas para la formulación de proyectos hidráulicos multisectoriales y de afianzamiento hídrico. Dirección de Estudios de Proyectos Hidráulicos Multisectoriales, Perú.</t>
  </si>
  <si>
    <t>Villón, M. (2005). Diseño de estructuras hidráulicas. Lima: Editorial Villón.</t>
  </si>
  <si>
    <t>Cálculo del caudal</t>
  </si>
  <si>
    <t>Cálculo del tirante normal</t>
  </si>
  <si>
    <t>Y</t>
  </si>
  <si>
    <t>m</t>
  </si>
  <si>
    <t>Caudal</t>
  </si>
  <si>
    <t>m³/s</t>
  </si>
  <si>
    <t>Talud "Z"</t>
  </si>
  <si>
    <t>m/m</t>
  </si>
  <si>
    <t>Ancho solera "b"</t>
  </si>
  <si>
    <t>Pendiente "S"</t>
  </si>
  <si>
    <t>Coeficiente "n"</t>
  </si>
  <si>
    <t>Factor bordo libre</t>
  </si>
  <si>
    <t>Área</t>
  </si>
  <si>
    <t>m²</t>
  </si>
  <si>
    <t>Perímetro</t>
  </si>
  <si>
    <t>Radio</t>
  </si>
  <si>
    <t>Espejo de agua "T"</t>
  </si>
  <si>
    <t>Velocidad</t>
  </si>
  <si>
    <t>m/s</t>
  </si>
  <si>
    <t>E especifica</t>
  </si>
  <si>
    <t>kg/kg-m</t>
  </si>
  <si>
    <t>E específica</t>
  </si>
  <si>
    <t>Numero de Froude</t>
  </si>
  <si>
    <t>Tirante normal</t>
  </si>
  <si>
    <t>Tirante crítico</t>
  </si>
  <si>
    <t>Tipo de flujo</t>
  </si>
  <si>
    <t>Bca del canal</t>
  </si>
  <si>
    <t>Puntos x,y,z</t>
  </si>
  <si>
    <t>Bordo libre</t>
  </si>
  <si>
    <t>Profundidad total</t>
  </si>
  <si>
    <t>Longitud trayecto</t>
  </si>
  <si>
    <t>Punto</t>
  </si>
  <si>
    <t>X</t>
  </si>
  <si>
    <t>Z</t>
  </si>
  <si>
    <r>
      <t>Cálculo de transiciones rectas y alabeadas (</t>
    </r>
    <r>
      <rPr>
        <b/>
        <i/>
        <sz val="22"/>
        <color theme="1"/>
        <rFont val="Arial"/>
        <family val="2"/>
      </rPr>
      <t>Flujo Subcrítico</t>
    </r>
    <r>
      <rPr>
        <b/>
        <sz val="22"/>
        <color theme="1"/>
        <rFont val="Arial"/>
        <family val="2"/>
      </rPr>
      <t>)</t>
    </r>
  </si>
  <si>
    <t>Datos requeridos</t>
  </si>
  <si>
    <t xml:space="preserve">Características Hidráulicas </t>
  </si>
  <si>
    <t>Sección de entrada (Aguas arriba)</t>
  </si>
  <si>
    <t>Sección salida (Aguas abajo)</t>
  </si>
  <si>
    <t>(m³/s)</t>
  </si>
  <si>
    <t>(m/m)</t>
  </si>
  <si>
    <t>(m)</t>
  </si>
  <si>
    <t>Nivel fondo "h"</t>
  </si>
  <si>
    <t>Resultado transición recta</t>
  </si>
  <si>
    <t xml:space="preserve">Resultado transición Alabeada </t>
  </si>
  <si>
    <t>ke o ks</t>
  </si>
  <si>
    <t>nb</t>
  </si>
  <si>
    <t>Angulo de la transición</t>
  </si>
  <si>
    <t>∆h total (m)</t>
  </si>
  <si>
    <t>Características Hidráulicas</t>
  </si>
  <si>
    <t>(m²)</t>
  </si>
  <si>
    <t>(m/s)</t>
  </si>
  <si>
    <t>(kg/kg-m)</t>
  </si>
  <si>
    <t>Longitud calculada de la transición recta (m)</t>
  </si>
  <si>
    <t>Longitud calculada de la transición alabeada (m)</t>
  </si>
  <si>
    <t>Longitud de diseño de la transición recta (m)</t>
  </si>
  <si>
    <t>Longitud de diseño de la transición alabeada (m)</t>
  </si>
  <si>
    <t>Incremento de calculo "x" (m)</t>
  </si>
  <si>
    <t>Distancia (m)</t>
  </si>
  <si>
    <t>Ancho de solera  (m)</t>
  </si>
  <si>
    <t>Talud  (m)</t>
  </si>
  <si>
    <t>∆h (m)</t>
  </si>
  <si>
    <t>h (m)</t>
  </si>
  <si>
    <t>Tirante (m)</t>
  </si>
  <si>
    <t>Energía especifica</t>
  </si>
  <si>
    <t>Entrada</t>
  </si>
  <si>
    <t>Salida</t>
  </si>
  <si>
    <t>Exportable Iber (Transición recta)</t>
  </si>
  <si>
    <t>Exportable Iber (Transición alabeada)</t>
  </si>
  <si>
    <t>Profundidad total del canal aguas arriba</t>
  </si>
  <si>
    <t>Profundidad total canal aguas abajo</t>
  </si>
  <si>
    <t>Longitud canal hacia aguas arriba y hacia aguas debajo de la transición</t>
  </si>
  <si>
    <t>Longitud canal aguas arriba y  aguas debajo de la transición</t>
  </si>
  <si>
    <t>Talud para modelo</t>
  </si>
  <si>
    <t>Superficie de agua en la salida del canal</t>
  </si>
  <si>
    <t>L</t>
  </si>
  <si>
    <t>Is</t>
  </si>
  <si>
    <t>Ii</t>
  </si>
  <si>
    <t>Di</t>
  </si>
  <si>
    <t>Ds</t>
  </si>
  <si>
    <t>Diseño hidráulico de una Rápida</t>
  </si>
  <si>
    <t>Datos de entrada</t>
  </si>
  <si>
    <t xml:space="preserve">Distancia  </t>
  </si>
  <si>
    <t>A-B</t>
  </si>
  <si>
    <t>C-D</t>
  </si>
  <si>
    <t>H-I</t>
  </si>
  <si>
    <t>Cotas</t>
  </si>
  <si>
    <t>B</t>
  </si>
  <si>
    <t>D</t>
  </si>
  <si>
    <t>G</t>
  </si>
  <si>
    <t>Flujo de Agua</t>
  </si>
  <si>
    <t>Sección hidráulica canal aguas arriba</t>
  </si>
  <si>
    <t>b</t>
  </si>
  <si>
    <t>n</t>
  </si>
  <si>
    <t xml:space="preserve">S </t>
  </si>
  <si>
    <t>Sección hidráulica canal aguas abajo</t>
  </si>
  <si>
    <t>Resultados</t>
  </si>
  <si>
    <t>Perfil longitudinal de la rasante y corona del canal</t>
  </si>
  <si>
    <t>Canal aguas arriba (A-B)</t>
  </si>
  <si>
    <t>Transición entrada (B-C)</t>
  </si>
  <si>
    <t>Canal de la Rápida (C-D)</t>
  </si>
  <si>
    <t>Trayectoria (D-E)</t>
  </si>
  <si>
    <t>Colchón (E-F)</t>
  </si>
  <si>
    <t>Talud Colchón (F-G)</t>
  </si>
  <si>
    <t>Transición salida G-H</t>
  </si>
  <si>
    <t>Canal aguas abajo (H-I)</t>
  </si>
  <si>
    <t>Longitud Rápida</t>
  </si>
  <si>
    <t>Rasante</t>
  </si>
  <si>
    <t>Corona canal</t>
  </si>
  <si>
    <t>A</t>
  </si>
  <si>
    <t>C</t>
  </si>
  <si>
    <t>E</t>
  </si>
  <si>
    <t>F</t>
  </si>
  <si>
    <t>Secciones transversales</t>
  </si>
  <si>
    <t>H</t>
  </si>
  <si>
    <t>I</t>
  </si>
  <si>
    <t>Exportable (Iber, Hec-Ras)</t>
  </si>
  <si>
    <t xml:space="preserve"> </t>
  </si>
  <si>
    <t>Geometría Iber</t>
  </si>
  <si>
    <t>Secciones para Hec - Ras</t>
  </si>
  <si>
    <t>Coeficiente n</t>
  </si>
  <si>
    <t>Datos de entrada al modelo</t>
  </si>
  <si>
    <t xml:space="preserve">Estación </t>
  </si>
  <si>
    <t>Elevación</t>
  </si>
  <si>
    <t>Distancia trayecto</t>
  </si>
  <si>
    <t>Manning</t>
  </si>
  <si>
    <t>Tiempo simulación recomendado</t>
  </si>
  <si>
    <t>s</t>
  </si>
  <si>
    <t>Sección 1</t>
  </si>
  <si>
    <t>Nivel agua salida modelo</t>
  </si>
  <si>
    <t xml:space="preserve">m </t>
  </si>
  <si>
    <t>Sección 2</t>
  </si>
  <si>
    <t>Sección 3</t>
  </si>
  <si>
    <t>Sección 4</t>
  </si>
  <si>
    <t>Tutorial para exportar datos a Iber</t>
  </si>
  <si>
    <t>Sección 5</t>
  </si>
  <si>
    <t>Sección 6</t>
  </si>
  <si>
    <t>Sección 7</t>
  </si>
  <si>
    <t>Sección 8</t>
  </si>
  <si>
    <t>Sección 9</t>
  </si>
  <si>
    <t>Sección 10</t>
  </si>
  <si>
    <t>Sección 11</t>
  </si>
  <si>
    <t>Sección 12</t>
  </si>
  <si>
    <t>Memoria de cálculo del diseño de una Rápida</t>
  </si>
  <si>
    <t>1. Información hidráulica de los canales aguas arriba y aguas debajo de la Rápida</t>
  </si>
  <si>
    <t>Sección aguas arriba de la Rápida</t>
  </si>
  <si>
    <t>Sección aguas abajo de la Rápida</t>
  </si>
  <si>
    <t>Nivel "h"</t>
  </si>
  <si>
    <t>2. Calculo del ancho de solera de la Rápida</t>
  </si>
  <si>
    <t>Criterio de E mínima = E normal</t>
  </si>
  <si>
    <t>Formula de Dadenkov</t>
  </si>
  <si>
    <t>Método empírico</t>
  </si>
  <si>
    <t>b de diseño</t>
  </si>
  <si>
    <t>Yc</t>
  </si>
  <si>
    <t>Yc y E min para el b de diseño. El h requerido  es la sobre elevación del fondo para disminuir la variación del tirante aguas arriba de la transición</t>
  </si>
  <si>
    <t>E min</t>
  </si>
  <si>
    <t>(m-kg/kg)</t>
  </si>
  <si>
    <t>Perdidas en la transición</t>
  </si>
  <si>
    <t>h requerido</t>
  </si>
  <si>
    <t>3. Diseño de transición de entrada y de salida</t>
  </si>
  <si>
    <t xml:space="preserve">Características Hidráulicas de la transición de entrada </t>
  </si>
  <si>
    <t>Características de diseño de la transición</t>
  </si>
  <si>
    <t>Características Hidráulicas de la transición Salida</t>
  </si>
  <si>
    <t xml:space="preserve">Coeficiente de pérdida </t>
  </si>
  <si>
    <t>Angulo</t>
  </si>
  <si>
    <t>Tirante Real</t>
  </si>
  <si>
    <t>Longitud canal hacia aguas arriba</t>
  </si>
  <si>
    <t>Longitud canal hacia aguas abajo</t>
  </si>
  <si>
    <t>4. Calculo hidráulico del perfil de la superficie de agua en el canal de la Rápida.</t>
  </si>
  <si>
    <t>Rápida</t>
  </si>
  <si>
    <t>Inicio</t>
  </si>
  <si>
    <t>Final</t>
  </si>
  <si>
    <t>Longitud</t>
  </si>
  <si>
    <t>Cota</t>
  </si>
  <si>
    <t>Pendiente</t>
  </si>
  <si>
    <t>Ancho de solera</t>
  </si>
  <si>
    <t>Numero de tramos</t>
  </si>
  <si>
    <t>Calculo curva de remanso por método directo por tramos</t>
  </si>
  <si>
    <t>Tirante inicial</t>
  </si>
  <si>
    <t>Factor de aproximación (%)</t>
  </si>
  <si>
    <t>Tirante final</t>
  </si>
  <si>
    <t>Incremento</t>
  </si>
  <si>
    <t>P</t>
  </si>
  <si>
    <t>R</t>
  </si>
  <si>
    <t>R⅔</t>
  </si>
  <si>
    <t>V=Q/A</t>
  </si>
  <si>
    <t>V²/2g</t>
  </si>
  <si>
    <t>ΔE</t>
  </si>
  <si>
    <t>Se</t>
  </si>
  <si>
    <t>ΔX</t>
  </si>
  <si>
    <t>Bordo Libre</t>
  </si>
  <si>
    <t>Profundidad Canal</t>
  </si>
  <si>
    <t>Rasante del canal</t>
  </si>
  <si>
    <t>Superficie de agua</t>
  </si>
  <si>
    <t>Borde del canal</t>
  </si>
  <si>
    <t>Exportable Iber (Canal de la Rápida)</t>
  </si>
  <si>
    <t>5. Calculo Curva I, hidráulico de la trayectoria de la Rápida.</t>
  </si>
  <si>
    <t>Cota inicio de la Trayectoria (m)</t>
  </si>
  <si>
    <t>Tirante inicio de la Trayectoria (m)</t>
  </si>
  <si>
    <t>Área hidráulica inicia de la trayectoria (m²)</t>
  </si>
  <si>
    <t>Velocidad inicio de la Trayectoria (m/s)</t>
  </si>
  <si>
    <t>Elevación gradiente de energía (m -kg/kg)</t>
  </si>
  <si>
    <t>Y                                        (m)</t>
  </si>
  <si>
    <t>A                           (m²)</t>
  </si>
  <si>
    <t>V                (m/s)</t>
  </si>
  <si>
    <t>E                   (m -kg/kg)</t>
  </si>
  <si>
    <t xml:space="preserve">Elevación gradiente E - E especifica </t>
  </si>
  <si>
    <t>6. Calculo Curva II, Fondo del colchón amortiguador</t>
  </si>
  <si>
    <t xml:space="preserve">
</t>
  </si>
  <si>
    <t>Energía especifica aguas arriba de la transición de salida, aguas abajo de la Rápida (m-kg/kg)</t>
  </si>
  <si>
    <t>Cota final de la rápida, inicio del canal (m)</t>
  </si>
  <si>
    <t xml:space="preserve">Calculo de la Intersección de las Curvas I y II, que representa la cota del fondo del canal </t>
  </si>
  <si>
    <t>Y1                                       (m)</t>
  </si>
  <si>
    <t>Y2                                        (m)</t>
  </si>
  <si>
    <t>Δ Curva</t>
  </si>
  <si>
    <t>Curva II</t>
  </si>
  <si>
    <t>Curva I</t>
  </si>
  <si>
    <t>Intersección</t>
  </si>
  <si>
    <t>Cota de la rasante al inicio de la trayectoria y final del canal de la Rápida</t>
  </si>
  <si>
    <t>Cota de la rasante al final de la trayectoria y cota rasante colchón amortiguador (m)</t>
  </si>
  <si>
    <t>Longitud de la trayectoria (m)</t>
  </si>
  <si>
    <t xml:space="preserve">Puntos Trayectoria </t>
  </si>
  <si>
    <t>7.Diseño del colchón amortiguador</t>
  </si>
  <si>
    <t>Cota de fondo (m)</t>
  </si>
  <si>
    <t>Tirante conjugado menor Y1 (m)</t>
  </si>
  <si>
    <t>Tirante conjugado mayor Y2 (m)</t>
  </si>
  <si>
    <t>Longitud del resalto (m)</t>
  </si>
  <si>
    <t>Longitud del resalto para diseño (m)</t>
  </si>
  <si>
    <t>Diferencia fondo colchón con fondo canal aguas abajo (m)</t>
  </si>
  <si>
    <t>Puntos Colchón Amortiguador</t>
  </si>
  <si>
    <t>Puntos estructura Rápida</t>
  </si>
  <si>
    <t>Perfil rasante y corona del canal</t>
  </si>
  <si>
    <t>Vista de planta</t>
  </si>
  <si>
    <t>Zr</t>
  </si>
  <si>
    <t>Zc</t>
  </si>
  <si>
    <t>Cd</t>
  </si>
  <si>
    <t>Fd</t>
  </si>
  <si>
    <t>Fi</t>
  </si>
  <si>
    <t>Ci</t>
  </si>
  <si>
    <t>Transición de entrada</t>
  </si>
  <si>
    <t>Canal de la Rápida</t>
  </si>
  <si>
    <t>Trayectoria</t>
  </si>
  <si>
    <t xml:space="preserve">Sección transversal </t>
  </si>
  <si>
    <t>Canal aguas arriba</t>
  </si>
  <si>
    <t>Canal aguas abajo</t>
  </si>
  <si>
    <t>x</t>
  </si>
  <si>
    <t>y</t>
  </si>
  <si>
    <t>Colchón amortiguador</t>
  </si>
  <si>
    <t>Transición de Salida</t>
  </si>
  <si>
    <t xml:space="preserve">Condiciones de contorno </t>
  </si>
  <si>
    <t>Tiempo de simulación recomendado</t>
  </si>
  <si>
    <t>seg</t>
  </si>
  <si>
    <t>Caudal de entrada</t>
  </si>
  <si>
    <t>Cota de nivel de agua salida canal aguas abajo (salida modelo)</t>
  </si>
  <si>
    <t>Coeficiente de rugosidad canal aguas arriba</t>
  </si>
  <si>
    <t>Coeficiente de rugosidad en la Rápida</t>
  </si>
  <si>
    <t>Coeficiente de rugosidad canal aguas abajo</t>
  </si>
  <si>
    <t xml:space="preserve">Diseño de una caída </t>
  </si>
  <si>
    <t>Datos de los canales aguas arriba y aguas debajo de la Caída</t>
  </si>
  <si>
    <t xml:space="preserve">Caídas Verticales con obstáculos </t>
  </si>
  <si>
    <t>Caídas Verticales sin obstáculos</t>
  </si>
  <si>
    <t>Ancho de solera (m)</t>
  </si>
  <si>
    <t>Ld (m)</t>
  </si>
  <si>
    <t>e ob</t>
  </si>
  <si>
    <t>Espejo de Agua (m)</t>
  </si>
  <si>
    <t>Lob (m)</t>
  </si>
  <si>
    <t>h op.obs.final</t>
  </si>
  <si>
    <t>Tirante crítico (m)</t>
  </si>
  <si>
    <t>L (m)</t>
  </si>
  <si>
    <t>E especifica (m)</t>
  </si>
  <si>
    <t>Delta E</t>
  </si>
  <si>
    <t>y2 (m)</t>
  </si>
  <si>
    <t>Cota de fondo al inicio (m)</t>
  </si>
  <si>
    <t>h</t>
  </si>
  <si>
    <t>h op.obs (m)</t>
  </si>
  <si>
    <t xml:space="preserve">Numero de caída "D" </t>
  </si>
  <si>
    <t>a ob (m)</t>
  </si>
  <si>
    <t>Canal aguas arriba y aguas abajo</t>
  </si>
  <si>
    <t>Dimensiones</t>
  </si>
  <si>
    <t>y1 (m)</t>
  </si>
  <si>
    <t>yp (m)</t>
  </si>
  <si>
    <t>Cota nivel de agua (m)</t>
  </si>
  <si>
    <t>yn (m)</t>
  </si>
  <si>
    <t>Borde libre (m)</t>
  </si>
  <si>
    <t>L  (m)</t>
  </si>
  <si>
    <t>Profundidad Total (m)</t>
  </si>
  <si>
    <t>Lt (m)</t>
  </si>
  <si>
    <t>Boca Canal "BC" (m)</t>
  </si>
  <si>
    <t>p (m)</t>
  </si>
  <si>
    <t>Transición Recta de entrada y salida</t>
  </si>
  <si>
    <t>Longitud de la Transición (m)</t>
  </si>
  <si>
    <t>z</t>
  </si>
  <si>
    <t>Inicio Canal</t>
  </si>
  <si>
    <t>Longitudinal</t>
  </si>
  <si>
    <t>Inicio Transición entrada</t>
  </si>
  <si>
    <t>Fondo</t>
  </si>
  <si>
    <t>Fin Transición entrada</t>
  </si>
  <si>
    <t>Sobre elevación</t>
  </si>
  <si>
    <t>Inicio Caída Tanque</t>
  </si>
  <si>
    <t>longitud</t>
  </si>
  <si>
    <t>is</t>
  </si>
  <si>
    <t>ii</t>
  </si>
  <si>
    <t>di</t>
  </si>
  <si>
    <t>ds</t>
  </si>
  <si>
    <t>Fin Caída Tanque</t>
  </si>
  <si>
    <t xml:space="preserve">Inicio Transición salida </t>
  </si>
  <si>
    <t xml:space="preserve">Fin Transición salida </t>
  </si>
  <si>
    <t>Fin canal</t>
  </si>
  <si>
    <t>De laguna  al cauce</t>
  </si>
  <si>
    <t>Distancia</t>
  </si>
  <si>
    <t>Diseño de un Desarenador</t>
  </si>
  <si>
    <t>Información requerida</t>
  </si>
  <si>
    <t>Sección de entrada                 (Aguas arriba)</t>
  </si>
  <si>
    <t>Parámetro</t>
  </si>
  <si>
    <t>Valor</t>
  </si>
  <si>
    <t>Diámetro de partícula a sedimentar (mm)</t>
  </si>
  <si>
    <r>
      <t xml:space="preserve">Peso específico del material a sedimentar  </t>
    </r>
    <r>
      <rPr>
        <b/>
        <sz val="11"/>
        <color theme="1"/>
        <rFont val="Arial"/>
        <family val="2"/>
      </rPr>
      <t>r</t>
    </r>
    <r>
      <rPr>
        <sz val="11"/>
        <color theme="1"/>
        <rFont val="Arial"/>
        <family val="2"/>
      </rPr>
      <t>s</t>
    </r>
    <r>
      <rPr>
        <b/>
        <sz val="11"/>
        <color theme="1"/>
        <rFont val="Arial"/>
        <family val="2"/>
      </rPr>
      <t xml:space="preserve"> </t>
    </r>
    <r>
      <rPr>
        <sz val="11"/>
        <color theme="1"/>
        <rFont val="Arial"/>
        <family val="2"/>
      </rPr>
      <t>(g/cm³)</t>
    </r>
  </si>
  <si>
    <r>
      <t xml:space="preserve">Peso específico del agua turbia  </t>
    </r>
    <r>
      <rPr>
        <b/>
        <sz val="11"/>
        <color theme="1"/>
        <rFont val="Arial"/>
        <family val="2"/>
      </rPr>
      <t>r</t>
    </r>
    <r>
      <rPr>
        <sz val="11"/>
        <color theme="1"/>
        <rFont val="Arial"/>
        <family val="2"/>
      </rPr>
      <t>w</t>
    </r>
    <r>
      <rPr>
        <b/>
        <sz val="11"/>
        <color theme="1"/>
        <rFont val="Arial"/>
        <family val="2"/>
      </rPr>
      <t xml:space="preserve"> </t>
    </r>
    <r>
      <rPr>
        <sz val="11"/>
        <color theme="1"/>
        <rFont val="Arial"/>
        <family val="2"/>
      </rPr>
      <t>(g/cm³)</t>
    </r>
  </si>
  <si>
    <t>Profundidad del tanque del Desarenador (m)</t>
  </si>
  <si>
    <t>Longitud de canales aguas arriba y aguas abajo (m)</t>
  </si>
  <si>
    <t>Desplazamiento para paredes (traslado a IBER)</t>
  </si>
  <si>
    <t>Pendiente longitudinal desarenador (m/m)</t>
  </si>
  <si>
    <t>Espejo de agua</t>
  </si>
  <si>
    <t xml:space="preserve">Borde libre </t>
  </si>
  <si>
    <t>1. Determinación de la velocidad del flujo en el tanque (v)</t>
  </si>
  <si>
    <t xml:space="preserve">Constante a </t>
  </si>
  <si>
    <t>Velocidad (cm/s)</t>
  </si>
  <si>
    <t xml:space="preserve">Tabla 1: Arkhangelski </t>
  </si>
  <si>
    <t>Tabla 2: Sellerio</t>
  </si>
  <si>
    <t>Velocidad (m/s)</t>
  </si>
  <si>
    <t>w (cm/s)</t>
  </si>
  <si>
    <t>d(mm)</t>
  </si>
  <si>
    <t>2. Calculo de la Velocidad de caída de la partícula</t>
  </si>
  <si>
    <t>Según</t>
  </si>
  <si>
    <t>Arkhangelski (Tabla 1)</t>
  </si>
  <si>
    <t>Sellerio (Tabla 2)</t>
  </si>
  <si>
    <t>Owens</t>
  </si>
  <si>
    <t>Scotti - Foglieni</t>
  </si>
  <si>
    <t>W   PROMEDIO (cm/s)</t>
  </si>
  <si>
    <t>W  PROMEDIO (m/s)</t>
  </si>
  <si>
    <t>3. Dimensiones del tanque</t>
  </si>
  <si>
    <t>Sin contemplar turbulencia</t>
  </si>
  <si>
    <t>Contemplando turbulencia</t>
  </si>
  <si>
    <t>Ancho del tanque (m)</t>
  </si>
  <si>
    <t>Longitud del tanque (m)</t>
  </si>
  <si>
    <t xml:space="preserve">Evaluación de las dimensiones </t>
  </si>
  <si>
    <t xml:space="preserve">w' </t>
  </si>
  <si>
    <t>Tempo de sedimentación (s)</t>
  </si>
  <si>
    <t>Eghiazaroff</t>
  </si>
  <si>
    <t>Volumen entrante (m³)</t>
  </si>
  <si>
    <t>Levin</t>
  </si>
  <si>
    <t>Capacidad del tanque (m³)</t>
  </si>
  <si>
    <t>Promedio</t>
  </si>
  <si>
    <t>El dimensionamiento cumple</t>
  </si>
  <si>
    <t>4. Transición</t>
  </si>
  <si>
    <t>Longitud de la transición (m)</t>
  </si>
  <si>
    <t>Canal lateral</t>
  </si>
  <si>
    <t>Ancho desarenador y Canal (m)</t>
  </si>
  <si>
    <t>S</t>
  </si>
  <si>
    <t>5. Longitud del Vertedero</t>
  </si>
  <si>
    <t>Coeficiente C del vertedero</t>
  </si>
  <si>
    <t>Longitud del Vertedero</t>
  </si>
  <si>
    <t>C= 180L/Pb</t>
  </si>
  <si>
    <t>Angulo central  α</t>
  </si>
  <si>
    <t>Radio del semicírculo</t>
  </si>
  <si>
    <t>L proyección longitudinal (m)</t>
  </si>
  <si>
    <t>Diseño de un Puente canal</t>
  </si>
  <si>
    <t>Sección de entrada (1)</t>
  </si>
  <si>
    <t>Sección salida (4)</t>
  </si>
  <si>
    <r>
      <t xml:space="preserve">Coeficiente de Perdidas transición de </t>
    </r>
    <r>
      <rPr>
        <b/>
        <sz val="11"/>
        <color theme="1"/>
        <rFont val="Arial"/>
        <family val="2"/>
      </rPr>
      <t>Entrada</t>
    </r>
    <r>
      <rPr>
        <sz val="11"/>
        <color theme="1"/>
        <rFont val="Arial"/>
        <family val="2"/>
      </rPr>
      <t xml:space="preserve"> "Ke"</t>
    </r>
  </si>
  <si>
    <r>
      <t xml:space="preserve">Coeficiente de Perdidas transición de </t>
    </r>
    <r>
      <rPr>
        <b/>
        <sz val="11"/>
        <color theme="1"/>
        <rFont val="Arial"/>
        <family val="2"/>
      </rPr>
      <t>Salida</t>
    </r>
    <r>
      <rPr>
        <sz val="11"/>
        <color theme="1"/>
        <rFont val="Arial"/>
        <family val="2"/>
      </rPr>
      <t xml:space="preserve"> "Ks"</t>
    </r>
  </si>
  <si>
    <t>Para efectos de modelado de la estructura indique la longitud que quiere proyectar el canal aguas arriba y aguas debajo de la estructura</t>
  </si>
  <si>
    <t xml:space="preserve"> Angulo entre espejos de agua (°)</t>
  </si>
  <si>
    <t>Longitud del puente Canal (m)</t>
  </si>
  <si>
    <t>Coeficiente de rugosidad del puente canal</t>
  </si>
  <si>
    <t>Longitud del Canal aguas arriba y abajo (m)</t>
  </si>
  <si>
    <t>Tirante Y1  (m)</t>
  </si>
  <si>
    <t>Tirante Y2  (m)</t>
  </si>
  <si>
    <t>Tirante Y3  (m)</t>
  </si>
  <si>
    <t>Tirante Y4  (m)</t>
  </si>
  <si>
    <t>Area (m²)</t>
  </si>
  <si>
    <t>Ancho de solera "b" (m)</t>
  </si>
  <si>
    <t>Espejo de agua "T" (m)</t>
  </si>
  <si>
    <t>Perímetro (m)</t>
  </si>
  <si>
    <t>Radio (m)</t>
  </si>
  <si>
    <t>Numero de  Froud</t>
  </si>
  <si>
    <t>Borde Libre "BL" (m)</t>
  </si>
  <si>
    <t>Cota rasante en 1 (m)</t>
  </si>
  <si>
    <t>Cota rasante en 4 (m)</t>
  </si>
  <si>
    <t>Cota de la corona  1 (m)</t>
  </si>
  <si>
    <t>Cota rasante en 2 (m)</t>
  </si>
  <si>
    <t>Cota rasante en 3 (m)</t>
  </si>
  <si>
    <t>Cota de la corona  4 (m)</t>
  </si>
  <si>
    <t>Boca del canal "BC" (m)</t>
  </si>
  <si>
    <t>Cota de la corona  2 (m)</t>
  </si>
  <si>
    <t>Cota de la corona  3 (m)</t>
  </si>
  <si>
    <t>Longitud de transición de salida (m)</t>
  </si>
  <si>
    <t>Longitud de transición de entrada (m)</t>
  </si>
  <si>
    <t>Longitud del canal aguas arriba y agua debajo de la estructura (m)</t>
  </si>
  <si>
    <t>Puntos para exportar estructura a Iber</t>
  </si>
  <si>
    <t>Sección aguas arriba del puente canal</t>
  </si>
  <si>
    <t>Nivel de agua en la salida</t>
  </si>
  <si>
    <t>Tiempo de simulación</t>
  </si>
  <si>
    <t>Sección aguas abajo del puente canal</t>
  </si>
  <si>
    <t>Diseño de Vertedero Lateral</t>
  </si>
  <si>
    <t>Condiciones de diseño del canal</t>
  </si>
  <si>
    <t>Condiciones del canal aguas abajo del vertedero</t>
  </si>
  <si>
    <t>Condición de tirante igual a profundidad total del canal</t>
  </si>
  <si>
    <t>b =</t>
  </si>
  <si>
    <t>Z =</t>
  </si>
  <si>
    <t>n =</t>
  </si>
  <si>
    <t>S =</t>
  </si>
  <si>
    <t>yn =</t>
  </si>
  <si>
    <t>% de tolerancia de Y</t>
  </si>
  <si>
    <t>H =</t>
  </si>
  <si>
    <t>An</t>
  </si>
  <si>
    <t>y permitido =</t>
  </si>
  <si>
    <t>Pn</t>
  </si>
  <si>
    <t>A permitido=</t>
  </si>
  <si>
    <t>Rn</t>
  </si>
  <si>
    <t>Permitido=</t>
  </si>
  <si>
    <t>Qd</t>
  </si>
  <si>
    <t>Rpermitido=</t>
  </si>
  <si>
    <t>Qmax</t>
  </si>
  <si>
    <t>H canal</t>
  </si>
  <si>
    <t>Q permitido=</t>
  </si>
  <si>
    <t>Q vertido requerido</t>
  </si>
  <si>
    <t>BC</t>
  </si>
  <si>
    <t xml:space="preserve">a </t>
  </si>
  <si>
    <t>Delta L utilizado</t>
  </si>
  <si>
    <t>Espesor de Umbral</t>
  </si>
  <si>
    <t>Talud de descarga:</t>
  </si>
  <si>
    <t>Distancia canal Aguas arriba y aguas abajo del vertedero</t>
  </si>
  <si>
    <t>Cota rasante del canal al inicio del vertedero</t>
  </si>
  <si>
    <t xml:space="preserve">Longitud mínima del vertedero lateral </t>
  </si>
  <si>
    <t>Caudal Vertido</t>
  </si>
  <si>
    <t>Q</t>
  </si>
  <si>
    <t>h=y-a</t>
  </si>
  <si>
    <t>h(2gh)^0.5</t>
  </si>
  <si>
    <t>Q*ΔQ</t>
  </si>
  <si>
    <t>T</t>
  </si>
  <si>
    <t>Q²T</t>
  </si>
  <si>
    <t>Q²T/A</t>
  </si>
  <si>
    <t>gA²</t>
  </si>
  <si>
    <t>Q²T/A-gA²</t>
  </si>
  <si>
    <t>Y1= Y+Δh</t>
  </si>
  <si>
    <t>ΔL</t>
  </si>
  <si>
    <t>L acum</t>
  </si>
  <si>
    <t>Puntos para exportar a Iber</t>
  </si>
  <si>
    <t>Caudal entrante</t>
  </si>
  <si>
    <t>Cota rasante final del canal</t>
  </si>
  <si>
    <t>Cota nivel de agua salida del canal</t>
  </si>
  <si>
    <t>Sección inicial Vertedero</t>
  </si>
  <si>
    <t>Cuerpo del vertedero</t>
  </si>
  <si>
    <t>Sección final Vertedero</t>
  </si>
  <si>
    <t>Final canal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</si>
</sst>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
    <numFmt numFmtId="165" formatCode="0.0"/>
    <numFmt numFmtId="166" formatCode="0.00000"/>
    <numFmt numFmtId="167" formatCode="0.000"/>
    <numFmt numFmtId="168" formatCode="0.000000000000"/>
    <numFmt numFmtId="169" formatCode="0.00000000000000000"/>
    <numFmt numFmtId="170" formatCode="0.00000000000000"/>
  </numFmts>
  <fonts count="47">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1"/>
      <name val="Arial"/>
      <family val="2"/>
    </font>
    <font>
      <sz val="11"/>
      <color theme="1"/>
      <name val="Calibri"/>
      <family val="2"/>
      <scheme val="minor"/>
    </font>
    <font>
      <b/>
      <sz val="20"/>
      <color theme="1"/>
      <name val="Arial"/>
      <family val="2"/>
    </font>
    <font>
      <b/>
      <sz val="22"/>
      <color theme="1"/>
      <name val="Arial"/>
      <family val="2"/>
    </font>
    <font>
      <b/>
      <sz val="11"/>
      <color theme="1"/>
      <name val="Arial"/>
      <family val="2"/>
    </font>
    <font>
      <b/>
      <sz val="28"/>
      <color theme="1"/>
      <name val="Arial"/>
      <family val="2"/>
    </font>
    <font>
      <b/>
      <sz val="14"/>
      <color theme="1"/>
      <name val="Arial"/>
      <family val="2"/>
    </font>
    <font>
      <sz val="12"/>
      <color theme="1"/>
      <name val="Arial"/>
      <family val="2"/>
    </font>
    <font>
      <sz val="10"/>
      <color theme="1"/>
      <name val="Arial"/>
      <family val="2"/>
    </font>
    <font>
      <b/>
      <sz val="24"/>
      <color theme="1"/>
      <name val="Arial"/>
      <family val="2"/>
    </font>
    <font>
      <b/>
      <sz val="12"/>
      <color theme="1"/>
      <name val="Arial"/>
      <family val="2"/>
    </font>
    <font>
      <sz val="11"/>
      <color theme="0" tint="-0.249977111117893"/>
      <name val="Arial"/>
      <family val="2"/>
    </font>
    <font>
      <b/>
      <i/>
      <sz val="11"/>
      <color theme="1"/>
      <name val="Arial"/>
      <family val="2"/>
    </font>
    <font>
      <b/>
      <sz val="16"/>
      <color theme="1"/>
      <name val="Arial"/>
      <family val="2"/>
    </font>
    <font>
      <i/>
      <sz val="11"/>
      <color theme="1"/>
      <name val="Arial"/>
      <family val="2"/>
    </font>
    <font>
      <b/>
      <sz val="10"/>
      <color theme="1"/>
      <name val="Arial"/>
      <family val="2"/>
    </font>
    <font>
      <sz val="9"/>
      <color theme="1"/>
      <name val="Arial"/>
      <family val="2"/>
    </font>
    <font>
      <sz val="28"/>
      <color theme="1"/>
      <name val="Arial"/>
      <family val="2"/>
    </font>
    <font>
      <b/>
      <sz val="18"/>
      <color theme="1"/>
      <name val="Arial"/>
      <family val="2"/>
    </font>
    <font>
      <b/>
      <i/>
      <sz val="22"/>
      <color theme="1"/>
      <name val="Arial"/>
      <family val="2"/>
    </font>
    <font>
      <b/>
      <sz val="26"/>
      <color theme="1"/>
      <name val="Arial"/>
      <family val="2"/>
    </font>
    <font>
      <sz val="26"/>
      <color theme="1"/>
      <name val="Arial"/>
      <family val="2"/>
    </font>
    <font>
      <u/>
      <sz val="11"/>
      <color theme="10"/>
      <name val="Arial"/>
      <family val="2"/>
    </font>
    <font>
      <b/>
      <i/>
      <sz val="16"/>
      <color theme="1"/>
      <name val="Arial"/>
      <family val="2"/>
    </font>
    <font>
      <i/>
      <sz val="10"/>
      <color theme="1"/>
      <name val="Times New Roman"/>
      <family val="1"/>
    </font>
    <font>
      <i/>
      <sz val="9"/>
      <color theme="1"/>
      <name val="Arial"/>
      <family val="2"/>
    </font>
    <font>
      <b/>
      <i/>
      <sz val="12"/>
      <color theme="1"/>
      <name val="Times New Roman"/>
      <family val="1"/>
    </font>
    <font>
      <b/>
      <sz val="16"/>
      <color theme="0"/>
      <name val="Times New Roman"/>
      <family val="1"/>
    </font>
    <font>
      <b/>
      <sz val="14"/>
      <color theme="0"/>
      <name val="Times New Roman"/>
      <family val="1"/>
    </font>
    <font>
      <b/>
      <sz val="12"/>
      <color theme="0"/>
      <name val="Times New Roman"/>
      <family val="1"/>
    </font>
    <font>
      <sz val="10"/>
      <color rgb="FFD14500"/>
      <name val="Source Sans Pro"/>
      <family val="2"/>
    </font>
    <font>
      <sz val="10"/>
      <color rgb="FF333333"/>
      <name val="Source Sans Pro"/>
      <family val="2"/>
    </font>
    <font>
      <b/>
      <i/>
      <sz val="14"/>
      <color theme="1"/>
      <name val="Arial"/>
      <family val="2"/>
    </font>
    <font>
      <b/>
      <i/>
      <sz val="12"/>
      <color theme="1"/>
      <name val="Arial"/>
      <family val="2"/>
    </font>
    <font>
      <b/>
      <i/>
      <sz val="14"/>
      <color rgb="FF000000"/>
      <name val="Calibri"/>
      <family val="2"/>
    </font>
    <font>
      <b/>
      <i/>
      <sz val="14"/>
      <color rgb="FF000000"/>
      <name val="Arial"/>
      <family val="2"/>
    </font>
    <font>
      <sz val="11"/>
      <color rgb="FF000000"/>
      <name val="Arial"/>
      <family val="2"/>
    </font>
    <font>
      <b/>
      <sz val="14"/>
      <color rgb="FF000000"/>
      <name val="Calibri"/>
      <family val="2"/>
    </font>
    <font>
      <sz val="14"/>
      <color rgb="FF000000"/>
      <name val="Calibri"/>
      <family val="2"/>
    </font>
    <font>
      <sz val="11"/>
      <color rgb="FF000000"/>
      <name val="Calibri"/>
      <family val="2"/>
    </font>
    <font>
      <b/>
      <sz val="18"/>
      <color rgb="FF000000"/>
      <name val="Calibri"/>
      <family val="2"/>
    </font>
    <font>
      <b/>
      <sz val="18"/>
      <color rgb="FF000000"/>
      <name val="Aral"/>
    </font>
    <font>
      <b/>
      <sz val="18"/>
      <color rgb="FF00000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s>
  <cellStyleXfs count="3">
    <xf numFmtId="0" fontId="0" fillId="0" borderId="0"/>
    <xf numFmtId="0" fontId="3" fillId="0" borderId="0" applyNumberFormat="0" applyFill="0" applyBorder="0" applyAlignment="0" applyProtection="0"/>
    <xf numFmtId="9" fontId="5" fillId="0" borderId="0" applyFont="0" applyFill="0" applyBorder="0" applyAlignment="0" applyProtection="0"/>
  </cellStyleXfs>
  <cellXfs count="482">
    <xf numFmtId="0" fontId="0" fillId="0" borderId="0" xfId="0"/>
    <xf numFmtId="0" fontId="4" fillId="2" borderId="11" xfId="0" applyFont="1" applyFill="1" applyBorder="1"/>
    <xf numFmtId="0" fontId="4" fillId="0" borderId="11" xfId="0" applyFont="1" applyBorder="1" applyProtection="1">
      <protection locked="0"/>
    </xf>
    <xf numFmtId="164" fontId="4" fillId="0" borderId="1" xfId="0" applyNumberFormat="1" applyFont="1" applyBorder="1" applyProtection="1">
      <protection locked="0"/>
    </xf>
    <xf numFmtId="0" fontId="4" fillId="0" borderId="1" xfId="0" applyFont="1" applyBorder="1" applyProtection="1">
      <protection locked="0"/>
    </xf>
    <xf numFmtId="0" fontId="4" fillId="0" borderId="33" xfId="0" applyFont="1" applyBorder="1" applyProtection="1">
      <protection locked="0"/>
    </xf>
    <xf numFmtId="167" fontId="4" fillId="0" borderId="34" xfId="0" applyNumberFormat="1" applyFont="1" applyBorder="1" applyProtection="1">
      <protection locked="0"/>
    </xf>
    <xf numFmtId="0" fontId="4" fillId="0" borderId="34" xfId="0" applyFont="1" applyBorder="1" applyProtection="1">
      <protection locked="0"/>
    </xf>
    <xf numFmtId="0" fontId="4" fillId="0" borderId="11" xfId="0" applyFont="1" applyBorder="1"/>
    <xf numFmtId="0" fontId="4" fillId="0" borderId="2" xfId="0" applyFont="1" applyBorder="1"/>
    <xf numFmtId="0" fontId="4" fillId="0" borderId="33" xfId="0" applyFont="1" applyBorder="1"/>
    <xf numFmtId="0" fontId="4" fillId="0" borderId="48" xfId="0" applyFont="1" applyBorder="1"/>
    <xf numFmtId="0" fontId="4" fillId="0" borderId="1" xfId="0" applyFont="1" applyBorder="1"/>
    <xf numFmtId="0" fontId="8" fillId="4" borderId="1" xfId="0" applyFont="1" applyFill="1" applyBorder="1" applyAlignment="1">
      <alignment horizontal="center" vertical="center" wrapText="1"/>
    </xf>
    <xf numFmtId="0" fontId="4" fillId="4" borderId="1" xfId="0" applyFont="1" applyFill="1" applyBorder="1" applyAlignment="1">
      <alignment horizontal="center" wrapText="1"/>
    </xf>
    <xf numFmtId="0" fontId="4" fillId="4" borderId="1" xfId="0" applyFont="1" applyFill="1" applyBorder="1" applyAlignment="1">
      <alignment horizontal="center" vertical="center" wrapText="1"/>
    </xf>
    <xf numFmtId="0" fontId="4" fillId="4" borderId="1" xfId="0" applyFont="1" applyFill="1" applyBorder="1"/>
    <xf numFmtId="2" fontId="4" fillId="4" borderId="1" xfId="0" applyNumberFormat="1" applyFont="1" applyFill="1" applyBorder="1"/>
    <xf numFmtId="164" fontId="4" fillId="4" borderId="1" xfId="0" applyNumberFormat="1" applyFont="1" applyFill="1" applyBorder="1"/>
    <xf numFmtId="167" fontId="4" fillId="4" borderId="1" xfId="0" applyNumberFormat="1" applyFont="1" applyFill="1" applyBorder="1"/>
    <xf numFmtId="1" fontId="4" fillId="4" borderId="1" xfId="0" applyNumberFormat="1" applyFont="1" applyFill="1" applyBorder="1"/>
    <xf numFmtId="0" fontId="4" fillId="3" borderId="0" xfId="0" applyFont="1" applyFill="1"/>
    <xf numFmtId="0" fontId="4" fillId="3" borderId="1" xfId="0" applyFont="1" applyFill="1" applyBorder="1" applyAlignment="1">
      <alignment horizontal="center" wrapText="1"/>
    </xf>
    <xf numFmtId="0" fontId="4" fillId="3" borderId="1" xfId="0" applyFont="1" applyFill="1" applyBorder="1"/>
    <xf numFmtId="167" fontId="4" fillId="3" borderId="1" xfId="0" applyNumberFormat="1" applyFont="1" applyFill="1" applyBorder="1"/>
    <xf numFmtId="164" fontId="4" fillId="3" borderId="1" xfId="0" applyNumberFormat="1" applyFont="1" applyFill="1" applyBorder="1"/>
    <xf numFmtId="167" fontId="4" fillId="3" borderId="0" xfId="0" applyNumberFormat="1" applyFont="1" applyFill="1" applyAlignment="1">
      <alignment vertical="center"/>
    </xf>
    <xf numFmtId="167" fontId="4" fillId="3" borderId="0" xfId="0" applyNumberFormat="1" applyFont="1" applyFill="1"/>
    <xf numFmtId="0" fontId="4" fillId="3" borderId="1" xfId="0" applyFont="1" applyFill="1" applyBorder="1" applyAlignment="1">
      <alignment horizontal="center"/>
    </xf>
    <xf numFmtId="2" fontId="4" fillId="3" borderId="1" xfId="0" applyNumberFormat="1" applyFont="1" applyFill="1" applyBorder="1"/>
    <xf numFmtId="0" fontId="11" fillId="3" borderId="1" xfId="0" applyFont="1" applyFill="1" applyBorder="1" applyAlignment="1">
      <alignment horizontal="center" vertical="center"/>
    </xf>
    <xf numFmtId="164" fontId="18" fillId="3" borderId="1" xfId="0" applyNumberFormat="1" applyFont="1" applyFill="1" applyBorder="1"/>
    <xf numFmtId="0" fontId="4" fillId="3" borderId="1" xfId="0" applyFont="1" applyFill="1" applyBorder="1" applyAlignment="1">
      <alignment horizontal="center" vertical="center"/>
    </xf>
    <xf numFmtId="0" fontId="4" fillId="3" borderId="2" xfId="0" applyFont="1" applyFill="1" applyBorder="1" applyAlignment="1">
      <alignment horizontal="left"/>
    </xf>
    <xf numFmtId="0" fontId="4" fillId="3" borderId="3" xfId="0" applyFont="1" applyFill="1" applyBorder="1" applyAlignment="1">
      <alignment horizontal="left"/>
    </xf>
    <xf numFmtId="164" fontId="4" fillId="3" borderId="2" xfId="0" applyNumberFormat="1" applyFont="1" applyFill="1" applyBorder="1"/>
    <xf numFmtId="0" fontId="4" fillId="3" borderId="3" xfId="0" applyFont="1" applyFill="1" applyBorder="1"/>
    <xf numFmtId="166" fontId="4" fillId="3" borderId="0" xfId="0" applyNumberFormat="1" applyFont="1" applyFill="1"/>
    <xf numFmtId="2" fontId="4" fillId="3" borderId="1" xfId="0" applyNumberFormat="1" applyFont="1" applyFill="1" applyBorder="1" applyAlignment="1">
      <alignment horizontal="center"/>
    </xf>
    <xf numFmtId="2" fontId="4" fillId="3" borderId="1" xfId="0" applyNumberFormat="1" applyFont="1" applyFill="1" applyBorder="1" applyAlignment="1">
      <alignment horizontal="center" vertical="center"/>
    </xf>
    <xf numFmtId="2" fontId="4" fillId="3" borderId="1" xfId="0" applyNumberFormat="1" applyFont="1" applyFill="1" applyBorder="1" applyAlignment="1">
      <alignment horizontal="right" vertical="center"/>
    </xf>
    <xf numFmtId="0" fontId="4" fillId="3" borderId="15" xfId="0" applyFont="1" applyFill="1" applyBorder="1"/>
    <xf numFmtId="0" fontId="13" fillId="3" borderId="0" xfId="0" applyFont="1" applyFill="1" applyAlignment="1">
      <alignment horizontal="center" wrapText="1"/>
    </xf>
    <xf numFmtId="0" fontId="14" fillId="3" borderId="0" xfId="0" applyFont="1" applyFill="1"/>
    <xf numFmtId="0" fontId="8"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15" fillId="3" borderId="0" xfId="0" applyFont="1" applyFill="1"/>
    <xf numFmtId="1" fontId="4" fillId="3" borderId="1" xfId="0" applyNumberFormat="1" applyFont="1" applyFill="1" applyBorder="1"/>
    <xf numFmtId="0" fontId="14" fillId="3" borderId="8" xfId="0" applyFont="1" applyFill="1" applyBorder="1"/>
    <xf numFmtId="0" fontId="4" fillId="3" borderId="10" xfId="0" applyFont="1" applyFill="1" applyBorder="1"/>
    <xf numFmtId="0" fontId="4" fillId="3" borderId="11" xfId="0" applyFont="1" applyFill="1" applyBorder="1"/>
    <xf numFmtId="0" fontId="4" fillId="3" borderId="11" xfId="0" applyFont="1" applyFill="1" applyBorder="1" applyAlignment="1">
      <alignment horizontal="left"/>
    </xf>
    <xf numFmtId="0" fontId="4" fillId="3" borderId="1" xfId="0" applyFont="1" applyFill="1" applyBorder="1" applyAlignment="1">
      <alignment horizontal="left"/>
    </xf>
    <xf numFmtId="0" fontId="4" fillId="3" borderId="9" xfId="0" applyFont="1" applyFill="1" applyBorder="1"/>
    <xf numFmtId="0" fontId="4" fillId="3" borderId="14" xfId="0" applyFont="1" applyFill="1" applyBorder="1"/>
    <xf numFmtId="0" fontId="4" fillId="3" borderId="16" xfId="0" applyFont="1" applyFill="1" applyBorder="1"/>
    <xf numFmtId="2" fontId="8" fillId="3" borderId="1" xfId="0" applyNumberFormat="1" applyFont="1" applyFill="1" applyBorder="1"/>
    <xf numFmtId="0" fontId="4" fillId="3" borderId="6" xfId="0" applyFont="1" applyFill="1" applyBorder="1"/>
    <xf numFmtId="0" fontId="4" fillId="3" borderId="8" xfId="0" applyFont="1" applyFill="1" applyBorder="1"/>
    <xf numFmtId="164" fontId="8" fillId="3" borderId="1" xfId="0" applyNumberFormat="1" applyFont="1" applyFill="1" applyBorder="1"/>
    <xf numFmtId="0" fontId="4" fillId="3" borderId="0" xfId="0" applyFont="1" applyFill="1" applyAlignment="1">
      <alignment horizontal="right"/>
    </xf>
    <xf numFmtId="0" fontId="4" fillId="3" borderId="0" xfId="0" applyFont="1" applyFill="1" applyAlignment="1">
      <alignment horizontal="left"/>
    </xf>
    <xf numFmtId="166" fontId="8" fillId="3" borderId="1" xfId="0" applyNumberFormat="1" applyFont="1" applyFill="1" applyBorder="1"/>
    <xf numFmtId="0" fontId="16" fillId="3" borderId="0" xfId="0" applyFont="1" applyFill="1"/>
    <xf numFmtId="169" fontId="4" fillId="3" borderId="0" xfId="0" applyNumberFormat="1" applyFont="1" applyFill="1"/>
    <xf numFmtId="0" fontId="8" fillId="3" borderId="1" xfId="0" applyFont="1" applyFill="1" applyBorder="1" applyAlignment="1">
      <alignment horizontal="center"/>
    </xf>
    <xf numFmtId="165" fontId="4" fillId="3" borderId="1" xfId="0" applyNumberFormat="1" applyFont="1" applyFill="1" applyBorder="1"/>
    <xf numFmtId="0" fontId="4" fillId="3" borderId="2" xfId="0" applyFont="1" applyFill="1" applyBorder="1" applyAlignment="1">
      <alignment horizontal="center"/>
    </xf>
    <xf numFmtId="164" fontId="16" fillId="3" borderId="1" xfId="0" applyNumberFormat="1" applyFont="1" applyFill="1" applyBorder="1"/>
    <xf numFmtId="0" fontId="16" fillId="3" borderId="15" xfId="0" applyFont="1" applyFill="1" applyBorder="1"/>
    <xf numFmtId="164" fontId="4" fillId="3" borderId="0" xfId="0" applyNumberFormat="1" applyFont="1" applyFill="1"/>
    <xf numFmtId="166" fontId="4" fillId="3" borderId="1" xfId="0" applyNumberFormat="1" applyFont="1" applyFill="1" applyBorder="1"/>
    <xf numFmtId="2" fontId="4" fillId="3" borderId="0" xfId="0" applyNumberFormat="1" applyFont="1" applyFill="1"/>
    <xf numFmtId="2" fontId="15" fillId="3" borderId="0" xfId="0" applyNumberFormat="1" applyFont="1" applyFill="1"/>
    <xf numFmtId="0" fontId="15" fillId="3" borderId="0" xfId="0" applyFont="1" applyFill="1" applyAlignment="1">
      <alignment horizontal="right"/>
    </xf>
    <xf numFmtId="167" fontId="15" fillId="3" borderId="0" xfId="0" applyNumberFormat="1" applyFont="1" applyFill="1"/>
    <xf numFmtId="168" fontId="4" fillId="3" borderId="0" xfId="0" applyNumberFormat="1" applyFont="1" applyFill="1"/>
    <xf numFmtId="0" fontId="4" fillId="3" borderId="2" xfId="0" applyFont="1" applyFill="1" applyBorder="1"/>
    <xf numFmtId="0" fontId="4" fillId="3" borderId="11" xfId="0" applyFont="1" applyFill="1" applyBorder="1" applyAlignment="1">
      <alignment horizontal="center"/>
    </xf>
    <xf numFmtId="0" fontId="4" fillId="3" borderId="45" xfId="0" applyFont="1" applyFill="1" applyBorder="1"/>
    <xf numFmtId="0" fontId="4" fillId="3" borderId="25" xfId="0" applyFont="1" applyFill="1" applyBorder="1"/>
    <xf numFmtId="0" fontId="4" fillId="3" borderId="17" xfId="0" applyFont="1" applyFill="1" applyBorder="1"/>
    <xf numFmtId="0" fontId="4" fillId="3" borderId="27" xfId="0" applyFont="1" applyFill="1" applyBorder="1"/>
    <xf numFmtId="0" fontId="12" fillId="3" borderId="0" xfId="0" applyFont="1" applyFill="1"/>
    <xf numFmtId="0" fontId="12" fillId="2" borderId="1" xfId="0" applyFont="1" applyFill="1" applyBorder="1" applyAlignment="1">
      <alignment horizontal="center" wrapText="1"/>
    </xf>
    <xf numFmtId="0" fontId="12" fillId="3" borderId="10" xfId="0" applyFont="1" applyFill="1" applyBorder="1"/>
    <xf numFmtId="0" fontId="12" fillId="2" borderId="11" xfId="0" applyFont="1" applyFill="1" applyBorder="1"/>
    <xf numFmtId="0" fontId="12" fillId="2" borderId="2" xfId="0" applyFont="1" applyFill="1" applyBorder="1"/>
    <xf numFmtId="0" fontId="12" fillId="3" borderId="9" xfId="0" applyFont="1" applyFill="1" applyBorder="1"/>
    <xf numFmtId="0" fontId="12" fillId="3" borderId="1" xfId="0" applyFont="1" applyFill="1" applyBorder="1" applyAlignment="1">
      <alignment horizontal="center"/>
    </xf>
    <xf numFmtId="164" fontId="12" fillId="3" borderId="1" xfId="0" applyNumberFormat="1" applyFont="1" applyFill="1" applyBorder="1"/>
    <xf numFmtId="2" fontId="12" fillId="3" borderId="1" xfId="0" applyNumberFormat="1" applyFont="1" applyFill="1" applyBorder="1"/>
    <xf numFmtId="0" fontId="12" fillId="3" borderId="14" xfId="0" applyFont="1" applyFill="1" applyBorder="1"/>
    <xf numFmtId="0" fontId="12" fillId="3" borderId="15" xfId="0" applyFont="1" applyFill="1" applyBorder="1"/>
    <xf numFmtId="0" fontId="12" fillId="3" borderId="1" xfId="0" applyFont="1" applyFill="1" applyBorder="1" applyAlignment="1">
      <alignment horizontal="center" wrapText="1"/>
    </xf>
    <xf numFmtId="0" fontId="12" fillId="3" borderId="45" xfId="0" applyFont="1" applyFill="1" applyBorder="1"/>
    <xf numFmtId="0" fontId="12" fillId="3" borderId="25" xfId="0" applyFont="1" applyFill="1" applyBorder="1"/>
    <xf numFmtId="0" fontId="12" fillId="3" borderId="17" xfId="0" applyFont="1" applyFill="1" applyBorder="1"/>
    <xf numFmtId="0" fontId="12" fillId="3" borderId="3" xfId="0" applyFont="1" applyFill="1" applyBorder="1"/>
    <xf numFmtId="0" fontId="12" fillId="3" borderId="27" xfId="0" applyFont="1" applyFill="1" applyBorder="1"/>
    <xf numFmtId="0" fontId="12" fillId="3" borderId="16" xfId="0" applyFont="1" applyFill="1" applyBorder="1"/>
    <xf numFmtId="0" fontId="19" fillId="3" borderId="4" xfId="0" applyFont="1" applyFill="1" applyBorder="1" applyAlignment="1">
      <alignment horizontal="center"/>
    </xf>
    <xf numFmtId="164" fontId="20" fillId="3" borderId="1" xfId="0" applyNumberFormat="1" applyFont="1" applyFill="1" applyBorder="1"/>
    <xf numFmtId="0" fontId="9" fillId="3" borderId="0" xfId="0" applyFont="1" applyFill="1"/>
    <xf numFmtId="0" fontId="21" fillId="3" borderId="0" xfId="0" applyFont="1" applyFill="1"/>
    <xf numFmtId="0" fontId="10" fillId="3" borderId="0" xfId="0" applyFont="1" applyFill="1"/>
    <xf numFmtId="0" fontId="8" fillId="3" borderId="1" xfId="0" applyFont="1" applyFill="1" applyBorder="1"/>
    <xf numFmtId="164" fontId="4" fillId="3" borderId="1" xfId="0" applyNumberFormat="1" applyFont="1" applyFill="1" applyBorder="1" applyAlignment="1">
      <alignment wrapText="1"/>
    </xf>
    <xf numFmtId="0" fontId="8" fillId="3" borderId="1" xfId="0" applyFont="1" applyFill="1" applyBorder="1" applyAlignment="1">
      <alignment horizontal="center" wrapText="1"/>
    </xf>
    <xf numFmtId="0" fontId="8" fillId="3" borderId="1" xfId="0" applyFont="1" applyFill="1" applyBorder="1" applyAlignment="1">
      <alignment horizontal="center" vertical="center"/>
    </xf>
    <xf numFmtId="0" fontId="4" fillId="3" borderId="17" xfId="0" applyFont="1" applyFill="1" applyBorder="1" applyAlignment="1">
      <alignment wrapText="1"/>
    </xf>
    <xf numFmtId="2" fontId="4" fillId="3" borderId="2" xfId="0" applyNumberFormat="1" applyFont="1" applyFill="1" applyBorder="1" applyAlignment="1">
      <alignment vertical="center"/>
    </xf>
    <xf numFmtId="0" fontId="4" fillId="3" borderId="3" xfId="0" applyFont="1" applyFill="1" applyBorder="1" applyAlignment="1">
      <alignment vertical="center"/>
    </xf>
    <xf numFmtId="2" fontId="4" fillId="3" borderId="3" xfId="0" applyNumberFormat="1" applyFont="1" applyFill="1" applyBorder="1" applyAlignment="1">
      <alignment vertical="center"/>
    </xf>
    <xf numFmtId="0" fontId="4" fillId="3" borderId="11" xfId="0" applyFont="1" applyFill="1" applyBorder="1" applyAlignment="1">
      <alignment wrapText="1"/>
    </xf>
    <xf numFmtId="2" fontId="4" fillId="3" borderId="1" xfId="0" applyNumberFormat="1" applyFont="1" applyFill="1" applyBorder="1" applyAlignment="1">
      <alignment vertical="center"/>
    </xf>
    <xf numFmtId="0" fontId="4" fillId="3" borderId="18" xfId="0" applyFont="1" applyFill="1" applyBorder="1" applyAlignment="1">
      <alignment vertical="center" wrapText="1"/>
    </xf>
    <xf numFmtId="2" fontId="4" fillId="3" borderId="1" xfId="0" applyNumberFormat="1" applyFont="1" applyFill="1" applyBorder="1" applyAlignment="1">
      <alignment horizontal="left" vertical="center"/>
    </xf>
    <xf numFmtId="165" fontId="4" fillId="3" borderId="1" xfId="0" applyNumberFormat="1" applyFont="1" applyFill="1" applyBorder="1" applyAlignment="1">
      <alignment horizontal="left" vertical="center"/>
    </xf>
    <xf numFmtId="0" fontId="4" fillId="3" borderId="28" xfId="0" applyFont="1" applyFill="1" applyBorder="1" applyAlignment="1">
      <alignment horizontal="left"/>
    </xf>
    <xf numFmtId="2" fontId="4" fillId="3" borderId="20" xfId="0" applyNumberFormat="1" applyFont="1" applyFill="1" applyBorder="1" applyAlignment="1">
      <alignment horizontal="left" vertical="center"/>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2" fontId="4" fillId="3" borderId="3" xfId="0" applyNumberFormat="1"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0" fontId="4" fillId="3" borderId="22" xfId="0" applyFont="1" applyFill="1" applyBorder="1"/>
    <xf numFmtId="0" fontId="4" fillId="3" borderId="23" xfId="0" applyFont="1" applyFill="1" applyBorder="1"/>
    <xf numFmtId="0" fontId="4" fillId="3" borderId="24" xfId="0" applyFont="1" applyFill="1" applyBorder="1"/>
    <xf numFmtId="164" fontId="4" fillId="3" borderId="1" xfId="0" applyNumberFormat="1" applyFont="1" applyFill="1" applyBorder="1" applyAlignment="1">
      <alignment horizontal="center" vertical="center"/>
    </xf>
    <xf numFmtId="164" fontId="4" fillId="3" borderId="1" xfId="0" applyNumberFormat="1" applyFont="1" applyFill="1" applyBorder="1" applyAlignment="1">
      <alignment horizontal="center"/>
    </xf>
    <xf numFmtId="0" fontId="4" fillId="3" borderId="0" xfId="0" applyFont="1" applyFill="1" applyAlignment="1">
      <alignment wrapText="1"/>
    </xf>
    <xf numFmtId="164" fontId="4" fillId="3" borderId="22" xfId="0" applyNumberFormat="1" applyFont="1" applyFill="1" applyBorder="1"/>
    <xf numFmtId="164" fontId="4" fillId="3" borderId="11" xfId="0" applyNumberFormat="1" applyFont="1" applyFill="1" applyBorder="1"/>
    <xf numFmtId="164" fontId="4" fillId="3" borderId="26" xfId="0" applyNumberFormat="1" applyFont="1" applyFill="1" applyBorder="1"/>
    <xf numFmtId="164" fontId="4" fillId="3" borderId="24" xfId="0" applyNumberFormat="1" applyFont="1" applyFill="1" applyBorder="1"/>
    <xf numFmtId="0" fontId="25" fillId="3" borderId="0" xfId="0" applyFont="1" applyFill="1"/>
    <xf numFmtId="0" fontId="4" fillId="3" borderId="7" xfId="0" applyFont="1" applyFill="1" applyBorder="1"/>
    <xf numFmtId="0" fontId="25" fillId="3" borderId="7" xfId="0" applyFont="1" applyFill="1" applyBorder="1" applyAlignment="1">
      <alignment horizontal="center"/>
    </xf>
    <xf numFmtId="0" fontId="25" fillId="3" borderId="8" xfId="0" applyFont="1" applyFill="1" applyBorder="1" applyAlignment="1">
      <alignment horizontal="center"/>
    </xf>
    <xf numFmtId="0" fontId="25" fillId="3" borderId="0" xfId="0" applyFont="1" applyFill="1" applyAlignment="1">
      <alignment horizontal="center"/>
    </xf>
    <xf numFmtId="0" fontId="8" fillId="3" borderId="23" xfId="0" applyFont="1" applyFill="1" applyBorder="1"/>
    <xf numFmtId="0" fontId="4" fillId="3" borderId="21" xfId="0" applyFont="1" applyFill="1" applyBorder="1"/>
    <xf numFmtId="0" fontId="4" fillId="3" borderId="26" xfId="0" applyFont="1" applyFill="1" applyBorder="1"/>
    <xf numFmtId="164" fontId="4" fillId="2" borderId="2" xfId="0" applyNumberFormat="1" applyFont="1" applyFill="1" applyBorder="1"/>
    <xf numFmtId="0" fontId="4" fillId="2" borderId="3" xfId="0" applyFont="1" applyFill="1" applyBorder="1"/>
    <xf numFmtId="2" fontId="4" fillId="2" borderId="2" xfId="0" applyNumberFormat="1" applyFont="1" applyFill="1" applyBorder="1"/>
    <xf numFmtId="0" fontId="4" fillId="3" borderId="36" xfId="0" applyFont="1" applyFill="1" applyBorder="1"/>
    <xf numFmtId="2" fontId="4" fillId="3" borderId="20" xfId="0" applyNumberFormat="1" applyFont="1" applyFill="1" applyBorder="1"/>
    <xf numFmtId="0" fontId="4" fillId="3" borderId="37" xfId="0" applyFont="1" applyFill="1" applyBorder="1" applyAlignment="1">
      <alignment horizontal="center"/>
    </xf>
    <xf numFmtId="0" fontId="4" fillId="3" borderId="38" xfId="0" applyFont="1" applyFill="1" applyBorder="1" applyAlignment="1">
      <alignment horizontal="center"/>
    </xf>
    <xf numFmtId="0" fontId="4" fillId="3" borderId="41" xfId="0" applyFont="1" applyFill="1" applyBorder="1" applyAlignment="1">
      <alignment horizontal="center"/>
    </xf>
    <xf numFmtId="2" fontId="4" fillId="3" borderId="29" xfId="0" applyNumberFormat="1" applyFont="1" applyFill="1" applyBorder="1" applyAlignment="1">
      <alignment horizontal="center"/>
    </xf>
    <xf numFmtId="2" fontId="4" fillId="3" borderId="30" xfId="0" applyNumberFormat="1" applyFont="1" applyFill="1" applyBorder="1" applyAlignment="1">
      <alignment horizontal="center"/>
    </xf>
    <xf numFmtId="2" fontId="4" fillId="3" borderId="11" xfId="0" applyNumberFormat="1" applyFont="1" applyFill="1" applyBorder="1" applyAlignment="1">
      <alignment horizontal="center"/>
    </xf>
    <xf numFmtId="2" fontId="4" fillId="3" borderId="1" xfId="0" applyNumberFormat="1" applyFont="1" applyFill="1" applyBorder="1" applyAlignment="1">
      <alignment horizontal="right"/>
    </xf>
    <xf numFmtId="2" fontId="4" fillId="3" borderId="33" xfId="0" applyNumberFormat="1" applyFont="1" applyFill="1" applyBorder="1" applyAlignment="1">
      <alignment horizontal="center"/>
    </xf>
    <xf numFmtId="2" fontId="4" fillId="3" borderId="34" xfId="0" applyNumberFormat="1" applyFont="1" applyFill="1" applyBorder="1" applyAlignment="1">
      <alignment horizontal="center"/>
    </xf>
    <xf numFmtId="2" fontId="4" fillId="3" borderId="18" xfId="0" applyNumberFormat="1" applyFont="1" applyFill="1" applyBorder="1" applyAlignment="1">
      <alignment horizontal="center"/>
    </xf>
    <xf numFmtId="2" fontId="4" fillId="3" borderId="4" xfId="0" applyNumberFormat="1" applyFont="1" applyFill="1" applyBorder="1" applyAlignment="1">
      <alignment horizontal="center"/>
    </xf>
    <xf numFmtId="2" fontId="4" fillId="3" borderId="28" xfId="0" applyNumberFormat="1" applyFont="1" applyFill="1" applyBorder="1" applyAlignment="1">
      <alignment horizontal="center"/>
    </xf>
    <xf numFmtId="2" fontId="4" fillId="3" borderId="20" xfId="0" applyNumberFormat="1" applyFont="1" applyFill="1" applyBorder="1" applyAlignment="1">
      <alignment horizontal="center"/>
    </xf>
    <xf numFmtId="0" fontId="7" fillId="3" borderId="0" xfId="0" applyFont="1" applyFill="1" applyAlignment="1">
      <alignment vertical="center"/>
    </xf>
    <xf numFmtId="0" fontId="8" fillId="3" borderId="0" xfId="0" applyFont="1" applyFill="1"/>
    <xf numFmtId="164" fontId="4" fillId="3" borderId="1" xfId="0" applyNumberFormat="1" applyFont="1" applyFill="1" applyBorder="1" applyAlignment="1">
      <alignment horizontal="right"/>
    </xf>
    <xf numFmtId="0" fontId="4" fillId="3" borderId="1" xfId="0" applyFont="1" applyFill="1" applyBorder="1" applyAlignment="1">
      <alignment horizontal="right"/>
    </xf>
    <xf numFmtId="0" fontId="4" fillId="3" borderId="20" xfId="0" applyFont="1" applyFill="1" applyBorder="1" applyAlignment="1">
      <alignment horizontal="center" wrapText="1"/>
    </xf>
    <xf numFmtId="0" fontId="11" fillId="3" borderId="13" xfId="0" applyFont="1" applyFill="1" applyBorder="1" applyAlignment="1">
      <alignment horizontal="center" wrapText="1"/>
    </xf>
    <xf numFmtId="164" fontId="4" fillId="3" borderId="4" xfId="0" applyNumberFormat="1" applyFont="1" applyFill="1" applyBorder="1" applyAlignment="1">
      <alignment horizontal="center" vertical="center"/>
    </xf>
    <xf numFmtId="164" fontId="4" fillId="3" borderId="25" xfId="0" applyNumberFormat="1" applyFont="1" applyFill="1" applyBorder="1"/>
    <xf numFmtId="164" fontId="4" fillId="3" borderId="20" xfId="0" applyNumberFormat="1" applyFont="1" applyFill="1" applyBorder="1"/>
    <xf numFmtId="164" fontId="4" fillId="3" borderId="3" xfId="0" applyNumberFormat="1" applyFont="1" applyFill="1" applyBorder="1"/>
    <xf numFmtId="0" fontId="4" fillId="3" borderId="17" xfId="0" applyFont="1" applyFill="1" applyBorder="1" applyAlignment="1">
      <alignment horizontal="center" wrapText="1"/>
    </xf>
    <xf numFmtId="2" fontId="4" fillId="3" borderId="22" xfId="0" applyNumberFormat="1" applyFont="1" applyFill="1" applyBorder="1" applyAlignment="1">
      <alignment vertical="center"/>
    </xf>
    <xf numFmtId="0" fontId="4" fillId="3" borderId="23" xfId="0" applyFont="1" applyFill="1" applyBorder="1" applyAlignment="1">
      <alignment vertical="center"/>
    </xf>
    <xf numFmtId="2" fontId="4" fillId="3" borderId="1" xfId="0" applyNumberFormat="1" applyFont="1" applyFill="1" applyBorder="1" applyAlignment="1">
      <alignment vertical="top"/>
    </xf>
    <xf numFmtId="0" fontId="4" fillId="3" borderId="1" xfId="0" applyFont="1" applyFill="1" applyBorder="1" applyAlignment="1">
      <alignment vertical="top"/>
    </xf>
    <xf numFmtId="2" fontId="4" fillId="3" borderId="32" xfId="0" applyNumberFormat="1" applyFont="1" applyFill="1" applyBorder="1" applyAlignment="1">
      <alignment vertical="center"/>
    </xf>
    <xf numFmtId="2" fontId="4" fillId="3" borderId="9" xfId="0" applyNumberFormat="1" applyFont="1" applyFill="1" applyBorder="1" applyAlignment="1">
      <alignment horizontal="right"/>
    </xf>
    <xf numFmtId="2" fontId="4" fillId="3" borderId="0" xfId="0" applyNumberFormat="1" applyFont="1" applyFill="1" applyAlignment="1">
      <alignment horizontal="right"/>
    </xf>
    <xf numFmtId="0" fontId="4" fillId="3" borderId="9" xfId="0" applyFont="1" applyFill="1" applyBorder="1" applyAlignment="1">
      <alignment horizontal="right"/>
    </xf>
    <xf numFmtId="0" fontId="4" fillId="3" borderId="8" xfId="0" applyFont="1" applyFill="1" applyBorder="1" applyProtection="1">
      <protection locked="0"/>
    </xf>
    <xf numFmtId="0" fontId="4" fillId="3" borderId="0" xfId="0" applyFont="1" applyFill="1" applyProtection="1">
      <protection locked="0"/>
    </xf>
    <xf numFmtId="0" fontId="4" fillId="3" borderId="10" xfId="0" applyFont="1" applyFill="1" applyBorder="1" applyProtection="1">
      <protection locked="0"/>
    </xf>
    <xf numFmtId="0" fontId="4" fillId="3" borderId="14" xfId="0" applyFont="1" applyFill="1" applyBorder="1" applyProtection="1">
      <protection locked="0"/>
    </xf>
    <xf numFmtId="0" fontId="4" fillId="3" borderId="15" xfId="0" applyFont="1" applyFill="1" applyBorder="1" applyProtection="1">
      <protection locked="0"/>
    </xf>
    <xf numFmtId="0" fontId="4" fillId="3" borderId="16" xfId="0" applyFont="1" applyFill="1" applyBorder="1" applyProtection="1">
      <protection locked="0"/>
    </xf>
    <xf numFmtId="0" fontId="4" fillId="3" borderId="9" xfId="0" applyFont="1" applyFill="1" applyBorder="1" applyProtection="1">
      <protection locked="0"/>
    </xf>
    <xf numFmtId="0" fontId="8" fillId="3" borderId="11" xfId="0" applyFont="1" applyFill="1" applyBorder="1"/>
    <xf numFmtId="0" fontId="4" fillId="3" borderId="18" xfId="0" applyFont="1" applyFill="1" applyBorder="1" applyProtection="1">
      <protection locked="0"/>
    </xf>
    <xf numFmtId="2" fontId="4" fillId="3" borderId="4" xfId="0" applyNumberFormat="1" applyFont="1" applyFill="1" applyBorder="1" applyProtection="1">
      <protection locked="0"/>
    </xf>
    <xf numFmtId="0" fontId="4" fillId="3" borderId="4" xfId="0" applyFont="1" applyFill="1" applyBorder="1" applyProtection="1">
      <protection locked="0"/>
    </xf>
    <xf numFmtId="0" fontId="4" fillId="3" borderId="0" xfId="0" applyFont="1" applyFill="1" applyAlignment="1" applyProtection="1">
      <alignment horizontal="right"/>
      <protection locked="0"/>
    </xf>
    <xf numFmtId="167" fontId="4" fillId="3" borderId="1" xfId="0" applyNumberFormat="1" applyFont="1" applyFill="1" applyBorder="1" applyAlignment="1">
      <alignment horizontal="center" vertical="center"/>
    </xf>
    <xf numFmtId="164" fontId="4" fillId="3" borderId="0" xfId="0" applyNumberFormat="1" applyFont="1" applyFill="1" applyProtection="1">
      <protection locked="0"/>
    </xf>
    <xf numFmtId="0" fontId="12" fillId="3" borderId="7" xfId="0" applyFont="1" applyFill="1" applyBorder="1"/>
    <xf numFmtId="0" fontId="12" fillId="3" borderId="8" xfId="0" applyFont="1" applyFill="1" applyBorder="1"/>
    <xf numFmtId="0" fontId="12" fillId="3" borderId="6" xfId="0" applyFont="1" applyFill="1" applyBorder="1"/>
    <xf numFmtId="164" fontId="12" fillId="3" borderId="11" xfId="0" applyNumberFormat="1" applyFont="1" applyFill="1" applyBorder="1"/>
    <xf numFmtId="0" fontId="12" fillId="3" borderId="1" xfId="0" applyFont="1" applyFill="1" applyBorder="1"/>
    <xf numFmtId="0" fontId="7" fillId="3" borderId="6" xfId="0" applyFont="1" applyFill="1" applyBorder="1" applyAlignment="1">
      <alignment vertical="center"/>
    </xf>
    <xf numFmtId="0" fontId="7" fillId="3" borderId="7" xfId="0" applyFont="1" applyFill="1" applyBorder="1" applyAlignment="1">
      <alignment vertical="center"/>
    </xf>
    <xf numFmtId="0" fontId="7" fillId="3" borderId="8" xfId="0" applyFont="1" applyFill="1" applyBorder="1" applyAlignment="1">
      <alignment vertical="center"/>
    </xf>
    <xf numFmtId="0" fontId="4" fillId="3" borderId="0" xfId="0" applyFont="1" applyFill="1" applyAlignment="1">
      <alignment horizontal="center" wrapText="1"/>
    </xf>
    <xf numFmtId="0" fontId="11" fillId="3" borderId="11" xfId="0" applyFont="1" applyFill="1" applyBorder="1" applyAlignment="1">
      <alignment horizontal="center" vertical="center"/>
    </xf>
    <xf numFmtId="1" fontId="4" fillId="3" borderId="1" xfId="0" applyNumberFormat="1" applyFont="1" applyFill="1" applyBorder="1" applyAlignment="1">
      <alignment horizontal="center"/>
    </xf>
    <xf numFmtId="165" fontId="4" fillId="3" borderId="1" xfId="0" applyNumberFormat="1" applyFont="1" applyFill="1" applyBorder="1" applyAlignment="1">
      <alignment horizontal="center"/>
    </xf>
    <xf numFmtId="0" fontId="17" fillId="3" borderId="15" xfId="0" applyFont="1" applyFill="1" applyBorder="1" applyAlignment="1">
      <alignment horizontal="left"/>
    </xf>
    <xf numFmtId="0" fontId="4" fillId="3" borderId="7" xfId="0" applyFont="1" applyFill="1" applyBorder="1" applyAlignment="1">
      <alignment vertical="top" wrapText="1"/>
    </xf>
    <xf numFmtId="0" fontId="4" fillId="3" borderId="0" xfId="0" applyFont="1" applyFill="1" applyAlignment="1">
      <alignment vertical="top" wrapText="1"/>
    </xf>
    <xf numFmtId="0" fontId="30" fillId="3" borderId="0" xfId="0" applyFont="1" applyFill="1"/>
    <xf numFmtId="164" fontId="12" fillId="3" borderId="34" xfId="0" applyNumberFormat="1" applyFont="1" applyFill="1" applyBorder="1"/>
    <xf numFmtId="170" fontId="12" fillId="3" borderId="0" xfId="0" applyNumberFormat="1" applyFont="1" applyFill="1"/>
    <xf numFmtId="0" fontId="4" fillId="0" borderId="20" xfId="0" applyFont="1" applyBorder="1" applyAlignment="1">
      <alignment horizontal="center" wrapText="1"/>
    </xf>
    <xf numFmtId="2" fontId="12" fillId="3" borderId="0" xfId="0" applyNumberFormat="1" applyFont="1" applyFill="1"/>
    <xf numFmtId="0" fontId="12" fillId="3" borderId="0" xfId="0" applyFont="1" applyFill="1" applyAlignment="1">
      <alignment horizontal="right"/>
    </xf>
    <xf numFmtId="0" fontId="14" fillId="3" borderId="15" xfId="0" applyFont="1" applyFill="1" applyBorder="1"/>
    <xf numFmtId="164" fontId="4" fillId="0" borderId="32" xfId="0" applyNumberFormat="1" applyFont="1" applyBorder="1" applyProtection="1">
      <protection locked="0"/>
    </xf>
    <xf numFmtId="164" fontId="4" fillId="0" borderId="34" xfId="0" applyNumberFormat="1" applyFont="1" applyBorder="1" applyProtection="1">
      <protection locked="0"/>
    </xf>
    <xf numFmtId="164" fontId="4" fillId="0" borderId="35" xfId="0" applyNumberFormat="1" applyFont="1" applyBorder="1" applyProtection="1">
      <protection locked="0"/>
    </xf>
    <xf numFmtId="2" fontId="4" fillId="3" borderId="1" xfId="0" applyNumberFormat="1" applyFont="1" applyFill="1" applyBorder="1" applyAlignment="1" applyProtection="1">
      <alignment horizontal="left" vertical="center"/>
      <protection locked="0"/>
    </xf>
    <xf numFmtId="164" fontId="4" fillId="3" borderId="1" xfId="0" applyNumberFormat="1" applyFont="1" applyFill="1" applyBorder="1" applyProtection="1">
      <protection locked="0"/>
    </xf>
    <xf numFmtId="2" fontId="4" fillId="3" borderId="1" xfId="0" applyNumberFormat="1" applyFont="1" applyFill="1" applyBorder="1" applyProtection="1">
      <protection locked="0"/>
    </xf>
    <xf numFmtId="164" fontId="12" fillId="2" borderId="1" xfId="0" applyNumberFormat="1" applyFont="1" applyFill="1" applyBorder="1" applyProtection="1">
      <protection locked="0"/>
    </xf>
    <xf numFmtId="2" fontId="12" fillId="3" borderId="30" xfId="0" applyNumberFormat="1" applyFont="1" applyFill="1" applyBorder="1" applyProtection="1">
      <protection locked="0"/>
    </xf>
    <xf numFmtId="2" fontId="12" fillId="3" borderId="31" xfId="0" applyNumberFormat="1" applyFont="1" applyFill="1" applyBorder="1" applyProtection="1">
      <protection locked="0"/>
    </xf>
    <xf numFmtId="2" fontId="12" fillId="3" borderId="1" xfId="0" applyNumberFormat="1" applyFont="1" applyFill="1" applyBorder="1" applyProtection="1">
      <protection locked="0"/>
    </xf>
    <xf numFmtId="2" fontId="12" fillId="3" borderId="32" xfId="0" applyNumberFormat="1" applyFont="1" applyFill="1" applyBorder="1" applyProtection="1">
      <protection locked="0"/>
    </xf>
    <xf numFmtId="2" fontId="12" fillId="3" borderId="34" xfId="0" applyNumberFormat="1" applyFont="1" applyFill="1" applyBorder="1" applyProtection="1">
      <protection locked="0"/>
    </xf>
    <xf numFmtId="2" fontId="12" fillId="3" borderId="35" xfId="0" applyNumberFormat="1" applyFont="1" applyFill="1" applyBorder="1" applyProtection="1">
      <protection locked="0"/>
    </xf>
    <xf numFmtId="167" fontId="4" fillId="0" borderId="1" xfId="0" applyNumberFormat="1" applyFont="1" applyBorder="1" applyProtection="1">
      <protection locked="0"/>
    </xf>
    <xf numFmtId="2" fontId="4" fillId="3" borderId="1" xfId="0" applyNumberFormat="1" applyFont="1" applyFill="1" applyBorder="1" applyAlignment="1" applyProtection="1">
      <alignment horizontal="right"/>
      <protection locked="0"/>
    </xf>
    <xf numFmtId="164" fontId="4" fillId="3" borderId="1" xfId="0" applyNumberFormat="1" applyFont="1" applyFill="1" applyBorder="1" applyAlignment="1" applyProtection="1">
      <alignment horizontal="right"/>
      <protection locked="0"/>
    </xf>
    <xf numFmtId="167" fontId="4" fillId="2" borderId="1" xfId="0" applyNumberFormat="1" applyFont="1" applyFill="1" applyBorder="1" applyProtection="1">
      <protection locked="0"/>
    </xf>
    <xf numFmtId="9" fontId="4" fillId="2" borderId="1" xfId="2" applyFont="1" applyFill="1" applyBorder="1" applyAlignment="1" applyProtection="1">
      <alignment horizontal="right" vertical="center"/>
      <protection locked="0"/>
    </xf>
    <xf numFmtId="167" fontId="4" fillId="3" borderId="1" xfId="0" applyNumberFormat="1" applyFont="1" applyFill="1" applyBorder="1" applyProtection="1">
      <protection locked="0"/>
    </xf>
    <xf numFmtId="0" fontId="24" fillId="3" borderId="0" xfId="0" applyFont="1" applyFill="1" applyAlignment="1">
      <alignment vertical="center" wrapText="1"/>
    </xf>
    <xf numFmtId="0" fontId="24" fillId="3" borderId="15" xfId="0" applyFont="1" applyFill="1" applyBorder="1" applyAlignment="1">
      <alignment vertical="center" wrapText="1"/>
    </xf>
    <xf numFmtId="0" fontId="34" fillId="3" borderId="0" xfId="0" applyFont="1" applyFill="1"/>
    <xf numFmtId="0" fontId="0" fillId="3" borderId="0" xfId="0" applyFill="1"/>
    <xf numFmtId="0" fontId="36" fillId="3" borderId="0" xfId="0" applyFont="1" applyFill="1"/>
    <xf numFmtId="0" fontId="37" fillId="3" borderId="0" xfId="0" applyFont="1" applyFill="1"/>
    <xf numFmtId="0" fontId="26" fillId="3" borderId="0" xfId="1" applyFont="1" applyFill="1" applyAlignment="1">
      <alignment horizontal="left" vertical="top" wrapText="1"/>
    </xf>
    <xf numFmtId="0" fontId="4" fillId="3" borderId="0" xfId="0" applyFont="1" applyFill="1" applyAlignment="1">
      <alignment horizontal="left" vertical="top" wrapText="1"/>
    </xf>
    <xf numFmtId="0" fontId="24" fillId="3" borderId="0" xfId="0" applyFont="1" applyFill="1" applyAlignment="1">
      <alignment horizontal="left" wrapText="1"/>
    </xf>
    <xf numFmtId="0" fontId="29" fillId="3" borderId="0" xfId="0" applyFont="1" applyFill="1" applyAlignment="1">
      <alignment horizontal="right"/>
    </xf>
    <xf numFmtId="0" fontId="17" fillId="3" borderId="15" xfId="0" applyFont="1" applyFill="1" applyBorder="1" applyAlignment="1">
      <alignment horizontal="left"/>
    </xf>
    <xf numFmtId="0" fontId="4" fillId="3" borderId="7" xfId="0" applyFont="1" applyFill="1" applyBorder="1" applyAlignment="1">
      <alignment horizontal="left" vertical="top" wrapText="1"/>
    </xf>
    <xf numFmtId="0" fontId="4" fillId="3" borderId="7" xfId="0" applyFont="1" applyFill="1" applyBorder="1" applyAlignment="1">
      <alignment horizontal="left" vertical="top"/>
    </xf>
    <xf numFmtId="0" fontId="4" fillId="3" borderId="0" xfId="0" applyFont="1" applyFill="1" applyAlignment="1">
      <alignment horizontal="left" vertical="top"/>
    </xf>
    <xf numFmtId="0" fontId="8" fillId="3" borderId="0" xfId="0" applyFont="1" applyFill="1" applyAlignment="1">
      <alignment horizontal="left" vertical="top" wrapText="1"/>
    </xf>
    <xf numFmtId="0" fontId="14" fillId="3" borderId="0" xfId="0" applyFont="1" applyFill="1" applyAlignment="1">
      <alignment horizontal="left" vertical="center"/>
    </xf>
    <xf numFmtId="0" fontId="4" fillId="3" borderId="0" xfId="0" applyFont="1" applyFill="1" applyAlignment="1">
      <alignment horizontal="left" wrapText="1"/>
    </xf>
    <xf numFmtId="0" fontId="28" fillId="3" borderId="0" xfId="0" applyFont="1" applyFill="1" applyAlignment="1">
      <alignment horizontal="right"/>
    </xf>
    <xf numFmtId="0" fontId="7" fillId="3" borderId="6" xfId="0" applyFont="1" applyFill="1" applyBorder="1" applyAlignment="1" applyProtection="1">
      <alignment horizontal="left"/>
      <protection locked="0"/>
    </xf>
    <xf numFmtId="0" fontId="7" fillId="3" borderId="7" xfId="0" applyFont="1" applyFill="1" applyBorder="1" applyAlignment="1" applyProtection="1">
      <alignment horizontal="left"/>
      <protection locked="0"/>
    </xf>
    <xf numFmtId="0" fontId="8" fillId="3" borderId="17" xfId="0" applyFont="1" applyFill="1" applyBorder="1" applyAlignment="1">
      <alignment horizontal="center"/>
    </xf>
    <xf numFmtId="0" fontId="8" fillId="3" borderId="5" xfId="0" applyFont="1" applyFill="1" applyBorder="1" applyAlignment="1">
      <alignment horizontal="center"/>
    </xf>
    <xf numFmtId="0" fontId="8" fillId="3" borderId="3" xfId="0" applyFont="1" applyFill="1" applyBorder="1" applyAlignment="1">
      <alignment horizontal="center"/>
    </xf>
    <xf numFmtId="0" fontId="4" fillId="3" borderId="2" xfId="0" applyFont="1" applyFill="1" applyBorder="1" applyAlignment="1">
      <alignment horizontal="center"/>
    </xf>
    <xf numFmtId="0" fontId="4" fillId="3" borderId="3" xfId="0" applyFont="1" applyFill="1" applyBorder="1" applyAlignment="1">
      <alignment horizontal="center"/>
    </xf>
    <xf numFmtId="0" fontId="7" fillId="3" borderId="8" xfId="0" applyFont="1" applyFill="1" applyBorder="1" applyAlignment="1" applyProtection="1">
      <alignment horizontal="left"/>
      <protection locked="0"/>
    </xf>
    <xf numFmtId="0" fontId="31" fillId="3" borderId="0" xfId="0" applyFont="1" applyFill="1" applyAlignment="1" applyProtection="1">
      <alignment horizontal="center"/>
      <protection locked="0"/>
    </xf>
    <xf numFmtId="0" fontId="33" fillId="3" borderId="0" xfId="0" applyFont="1" applyFill="1" applyAlignment="1" applyProtection="1">
      <alignment horizontal="center"/>
      <protection locked="0"/>
    </xf>
    <xf numFmtId="0" fontId="32" fillId="3" borderId="0" xfId="0" applyFont="1" applyFill="1" applyAlignment="1" applyProtection="1">
      <alignment horizontal="center"/>
      <protection locked="0"/>
    </xf>
    <xf numFmtId="0" fontId="10" fillId="3" borderId="42" xfId="0" applyFont="1" applyFill="1" applyBorder="1" applyAlignment="1">
      <alignment horizontal="center"/>
    </xf>
    <xf numFmtId="0" fontId="10" fillId="3" borderId="43" xfId="0" applyFont="1" applyFill="1" applyBorder="1" applyAlignment="1">
      <alignment horizontal="center"/>
    </xf>
    <xf numFmtId="0" fontId="10" fillId="3" borderId="40" xfId="0" applyFont="1" applyFill="1" applyBorder="1" applyAlignment="1">
      <alignment horizontal="center"/>
    </xf>
    <xf numFmtId="0" fontId="7" fillId="3" borderId="15" xfId="0" applyFont="1" applyFill="1" applyBorder="1" applyAlignment="1">
      <alignment horizontal="left" wrapText="1"/>
    </xf>
    <xf numFmtId="0" fontId="4" fillId="3" borderId="1" xfId="0" applyFont="1" applyFill="1" applyBorder="1" applyAlignment="1">
      <alignment horizontal="center" vertical="center" wrapText="1"/>
    </xf>
    <xf numFmtId="2" fontId="4" fillId="3" borderId="1" xfId="0" applyNumberFormat="1" applyFont="1" applyFill="1" applyBorder="1" applyAlignment="1">
      <alignment horizontal="center" vertical="center" wrapText="1"/>
    </xf>
    <xf numFmtId="0" fontId="8" fillId="3" borderId="45" xfId="0" applyFont="1" applyFill="1" applyBorder="1" applyAlignment="1">
      <alignment horizontal="center" vertical="center" wrapText="1"/>
    </xf>
    <xf numFmtId="0" fontId="8" fillId="3" borderId="25" xfId="0" applyFont="1" applyFill="1" applyBorder="1" applyAlignment="1">
      <alignment horizontal="center" vertical="center" wrapText="1"/>
    </xf>
    <xf numFmtId="0" fontId="6" fillId="3" borderId="6" xfId="0" applyFont="1" applyFill="1" applyBorder="1" applyAlignment="1">
      <alignment horizontal="center" vertical="top"/>
    </xf>
    <xf numFmtId="0" fontId="6" fillId="3" borderId="7" xfId="0" applyFont="1" applyFill="1" applyBorder="1" applyAlignment="1">
      <alignment horizontal="center" vertical="top"/>
    </xf>
    <xf numFmtId="0" fontId="6" fillId="3" borderId="8" xfId="0" applyFont="1" applyFill="1" applyBorder="1" applyAlignment="1">
      <alignment horizontal="center" vertical="top"/>
    </xf>
    <xf numFmtId="0" fontId="8" fillId="3" borderId="17"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4" fillId="3" borderId="17" xfId="0" applyFont="1" applyFill="1" applyBorder="1" applyAlignment="1">
      <alignment horizontal="center" vertical="top" wrapText="1"/>
    </xf>
    <xf numFmtId="0" fontId="4" fillId="3" borderId="5" xfId="0" applyFont="1" applyFill="1" applyBorder="1" applyAlignment="1">
      <alignment horizontal="center" vertical="top" wrapText="1"/>
    </xf>
    <xf numFmtId="0" fontId="4" fillId="3" borderId="3" xfId="0" applyFont="1" applyFill="1" applyBorder="1" applyAlignment="1">
      <alignment horizontal="center" vertical="top"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7" xfId="0" applyFont="1" applyFill="1" applyBorder="1" applyAlignment="1">
      <alignment horizontal="center"/>
    </xf>
    <xf numFmtId="0" fontId="4" fillId="3" borderId="5" xfId="0" applyFont="1" applyFill="1" applyBorder="1" applyAlignment="1">
      <alignment horizontal="center"/>
    </xf>
    <xf numFmtId="0" fontId="12" fillId="3" borderId="2" xfId="0" applyFont="1" applyFill="1" applyBorder="1" applyAlignment="1">
      <alignment horizontal="center"/>
    </xf>
    <xf numFmtId="0" fontId="12" fillId="3" borderId="5" xfId="0" applyFont="1" applyFill="1" applyBorder="1" applyAlignment="1">
      <alignment horizontal="center"/>
    </xf>
    <xf numFmtId="0" fontId="12" fillId="3" borderId="3" xfId="0" applyFont="1" applyFill="1" applyBorder="1" applyAlignment="1">
      <alignment horizontal="center"/>
    </xf>
    <xf numFmtId="0" fontId="4" fillId="3" borderId="2" xfId="0" applyFont="1" applyFill="1" applyBorder="1" applyAlignment="1">
      <alignment horizontal="left"/>
    </xf>
    <xf numFmtId="0" fontId="4" fillId="3" borderId="3" xfId="0" applyFont="1" applyFill="1" applyBorder="1" applyAlignment="1">
      <alignment horizontal="left"/>
    </xf>
    <xf numFmtId="0" fontId="8" fillId="3" borderId="1" xfId="0" applyFont="1" applyFill="1" applyBorder="1" applyAlignment="1">
      <alignment horizontal="center" vertical="center" wrapText="1"/>
    </xf>
    <xf numFmtId="0" fontId="4" fillId="3" borderId="17" xfId="0" applyFont="1" applyFill="1" applyBorder="1" applyAlignment="1">
      <alignment horizontal="left"/>
    </xf>
    <xf numFmtId="0" fontId="4" fillId="3" borderId="0" xfId="0" applyFont="1" applyFill="1" applyAlignment="1">
      <alignment horizontal="center"/>
    </xf>
    <xf numFmtId="0" fontId="8" fillId="3" borderId="17"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44" xfId="0" applyFont="1" applyFill="1" applyBorder="1" applyAlignment="1">
      <alignment horizontal="center" vertical="center"/>
    </xf>
    <xf numFmtId="0" fontId="4" fillId="3" borderId="1" xfId="0" applyFont="1" applyFill="1" applyBorder="1" applyAlignment="1">
      <alignment horizontal="center"/>
    </xf>
    <xf numFmtId="0" fontId="4" fillId="3" borderId="20" xfId="0" applyFont="1" applyFill="1" applyBorder="1" applyAlignment="1">
      <alignment horizontal="center"/>
    </xf>
    <xf numFmtId="0" fontId="4" fillId="3" borderId="24" xfId="0" applyFont="1" applyFill="1" applyBorder="1" applyAlignment="1">
      <alignment horizontal="center"/>
    </xf>
    <xf numFmtId="0" fontId="16" fillId="3" borderId="4" xfId="0" applyFont="1" applyFill="1" applyBorder="1" applyAlignment="1">
      <alignment horizontal="center"/>
    </xf>
    <xf numFmtId="0" fontId="16" fillId="3" borderId="1" xfId="0" applyFont="1" applyFill="1" applyBorder="1" applyAlignment="1">
      <alignment horizontal="center"/>
    </xf>
    <xf numFmtId="0" fontId="16" fillId="3" borderId="2" xfId="0" applyFont="1" applyFill="1" applyBorder="1" applyAlignment="1">
      <alignment horizontal="center"/>
    </xf>
    <xf numFmtId="0" fontId="16" fillId="3" borderId="5" xfId="0" applyFont="1" applyFill="1" applyBorder="1" applyAlignment="1">
      <alignment horizontal="center"/>
    </xf>
    <xf numFmtId="0" fontId="16" fillId="3" borderId="21" xfId="0" applyFont="1" applyFill="1" applyBorder="1" applyAlignment="1">
      <alignment horizontal="center"/>
    </xf>
    <xf numFmtId="0" fontId="16" fillId="3" borderId="23" xfId="0" applyFont="1" applyFill="1" applyBorder="1" applyAlignment="1">
      <alignment horizontal="center"/>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3" borderId="4" xfId="0" applyFont="1" applyFill="1" applyBorder="1" applyAlignment="1">
      <alignment horizontal="center"/>
    </xf>
    <xf numFmtId="0" fontId="10" fillId="3" borderId="0" xfId="0" applyFont="1" applyFill="1" applyAlignment="1">
      <alignment horizontal="center"/>
    </xf>
    <xf numFmtId="0" fontId="25" fillId="3" borderId="0" xfId="0" applyFont="1" applyFill="1" applyAlignment="1">
      <alignment horizontal="center"/>
    </xf>
    <xf numFmtId="0" fontId="8" fillId="3" borderId="1" xfId="0" applyFont="1" applyFill="1" applyBorder="1" applyAlignment="1">
      <alignment horizontal="center"/>
    </xf>
    <xf numFmtId="0" fontId="10" fillId="3" borderId="22" xfId="0" applyFont="1" applyFill="1" applyBorder="1" applyAlignment="1">
      <alignment horizontal="center"/>
    </xf>
    <xf numFmtId="0" fontId="10" fillId="3" borderId="21" xfId="0" applyFont="1" applyFill="1" applyBorder="1" applyAlignment="1">
      <alignment horizontal="center"/>
    </xf>
    <xf numFmtId="0" fontId="10" fillId="3" borderId="23" xfId="0" applyFont="1" applyFill="1" applyBorder="1" applyAlignment="1">
      <alignment horizontal="center"/>
    </xf>
    <xf numFmtId="0" fontId="16" fillId="3" borderId="3" xfId="0" applyFont="1" applyFill="1" applyBorder="1" applyAlignment="1">
      <alignment horizontal="center"/>
    </xf>
    <xf numFmtId="2" fontId="4" fillId="3" borderId="30" xfId="0" applyNumberFormat="1" applyFont="1" applyFill="1" applyBorder="1" applyAlignment="1">
      <alignment horizontal="center" vertical="center"/>
    </xf>
    <xf numFmtId="0" fontId="4" fillId="3" borderId="30" xfId="0" applyFont="1" applyFill="1" applyBorder="1" applyAlignment="1">
      <alignment horizontal="center" vertical="center"/>
    </xf>
    <xf numFmtId="0" fontId="4" fillId="3" borderId="1"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32"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34" xfId="0" applyFont="1" applyFill="1" applyBorder="1" applyAlignment="1">
      <alignment horizontal="center" vertical="center"/>
    </xf>
    <xf numFmtId="0" fontId="4" fillId="3" borderId="35" xfId="0" applyFont="1" applyFill="1" applyBorder="1" applyAlignment="1">
      <alignment horizontal="center" vertical="center"/>
    </xf>
    <xf numFmtId="164" fontId="4" fillId="3" borderId="31" xfId="0" applyNumberFormat="1" applyFont="1" applyFill="1" applyBorder="1" applyAlignment="1">
      <alignment horizontal="center" vertical="center"/>
    </xf>
    <xf numFmtId="0" fontId="12" fillId="3" borderId="1" xfId="0" applyFont="1" applyFill="1" applyBorder="1" applyAlignment="1">
      <alignment horizontal="center" wrapText="1"/>
    </xf>
    <xf numFmtId="2" fontId="4" fillId="3" borderId="1" xfId="0" applyNumberFormat="1" applyFont="1" applyFill="1" applyBorder="1" applyAlignment="1">
      <alignment horizontal="right" vertical="center"/>
    </xf>
    <xf numFmtId="0" fontId="4" fillId="3" borderId="1" xfId="0" applyFont="1" applyFill="1" applyBorder="1" applyAlignment="1">
      <alignment horizontal="left" vertical="center"/>
    </xf>
    <xf numFmtId="0" fontId="26" fillId="3" borderId="49" xfId="1" applyFont="1" applyFill="1" applyBorder="1" applyAlignment="1">
      <alignment horizontal="center" vertical="center"/>
    </xf>
    <xf numFmtId="0" fontId="26" fillId="3" borderId="50" xfId="1" applyFont="1" applyFill="1" applyBorder="1" applyAlignment="1">
      <alignment horizontal="center" vertical="center"/>
    </xf>
    <xf numFmtId="0" fontId="26" fillId="3" borderId="51" xfId="1" applyFont="1" applyFill="1" applyBorder="1" applyAlignment="1">
      <alignment horizontal="center" vertical="center"/>
    </xf>
    <xf numFmtId="0" fontId="26" fillId="3" borderId="52" xfId="1" applyFont="1" applyFill="1" applyBorder="1" applyAlignment="1">
      <alignment horizontal="center" vertical="center"/>
    </xf>
    <xf numFmtId="0" fontId="26" fillId="3" borderId="0" xfId="1" applyFont="1" applyFill="1" applyBorder="1" applyAlignment="1">
      <alignment horizontal="center" vertical="center"/>
    </xf>
    <xf numFmtId="0" fontId="26" fillId="3" borderId="53" xfId="1" applyFont="1" applyFill="1" applyBorder="1" applyAlignment="1">
      <alignment horizontal="center" vertical="center"/>
    </xf>
    <xf numFmtId="0" fontId="26" fillId="3" borderId="54" xfId="1" applyFont="1" applyFill="1" applyBorder="1" applyAlignment="1">
      <alignment horizontal="center" vertical="center"/>
    </xf>
    <xf numFmtId="0" fontId="26" fillId="3" borderId="55" xfId="1" applyFont="1" applyFill="1" applyBorder="1" applyAlignment="1">
      <alignment horizontal="center" vertical="center"/>
    </xf>
    <xf numFmtId="0" fontId="26" fillId="3" borderId="56" xfId="1" applyFont="1" applyFill="1" applyBorder="1" applyAlignment="1">
      <alignment horizontal="center" vertical="center"/>
    </xf>
    <xf numFmtId="164" fontId="4" fillId="3" borderId="1" xfId="0" applyNumberFormat="1" applyFont="1" applyFill="1" applyBorder="1" applyAlignment="1">
      <alignment horizontal="center" vertical="center"/>
    </xf>
    <xf numFmtId="0" fontId="4" fillId="3" borderId="39" xfId="0" applyFont="1" applyFill="1" applyBorder="1" applyAlignment="1">
      <alignment horizontal="center"/>
    </xf>
    <xf numFmtId="0" fontId="4" fillId="3" borderId="40" xfId="0" applyFont="1" applyFill="1" applyBorder="1" applyAlignment="1">
      <alignment horizontal="center"/>
    </xf>
    <xf numFmtId="0" fontId="20" fillId="3" borderId="1" xfId="0" applyFont="1" applyFill="1" applyBorder="1" applyAlignment="1">
      <alignment horizontal="center" wrapText="1"/>
    </xf>
    <xf numFmtId="164" fontId="4" fillId="3" borderId="13" xfId="0" applyNumberFormat="1" applyFont="1" applyFill="1" applyBorder="1" applyAlignment="1">
      <alignment horizontal="center" vertical="center"/>
    </xf>
    <xf numFmtId="2" fontId="4" fillId="3" borderId="20" xfId="0" applyNumberFormat="1" applyFont="1" applyFill="1" applyBorder="1" applyAlignment="1">
      <alignment horizontal="center" vertical="center"/>
    </xf>
    <xf numFmtId="0" fontId="4" fillId="3" borderId="20" xfId="0" applyFont="1" applyFill="1" applyBorder="1" applyAlignment="1">
      <alignment horizontal="center" vertical="center"/>
    </xf>
    <xf numFmtId="0" fontId="4" fillId="3" borderId="13" xfId="0" applyFont="1" applyFill="1" applyBorder="1" applyAlignment="1">
      <alignment horizontal="center" vertical="center"/>
    </xf>
    <xf numFmtId="0" fontId="24" fillId="3" borderId="0" xfId="0" applyFont="1" applyFill="1" applyAlignment="1">
      <alignment horizontal="left"/>
    </xf>
    <xf numFmtId="0" fontId="10" fillId="3" borderId="2" xfId="0" applyFont="1" applyFill="1" applyBorder="1" applyAlignment="1">
      <alignment horizontal="center"/>
    </xf>
    <xf numFmtId="0" fontId="10" fillId="3" borderId="5" xfId="0" applyFont="1" applyFill="1" applyBorder="1" applyAlignment="1">
      <alignment horizontal="center"/>
    </xf>
    <xf numFmtId="0" fontId="10" fillId="3" borderId="3" xfId="0" applyFont="1" applyFill="1" applyBorder="1" applyAlignment="1">
      <alignment horizontal="center"/>
    </xf>
    <xf numFmtId="0" fontId="4" fillId="3" borderId="1" xfId="0" applyFont="1" applyFill="1" applyBorder="1" applyAlignment="1">
      <alignment horizontal="center" wrapText="1"/>
    </xf>
    <xf numFmtId="0" fontId="4" fillId="3" borderId="3" xfId="0" applyFont="1" applyFill="1" applyBorder="1" applyAlignment="1">
      <alignment horizontal="center" vertical="center"/>
    </xf>
    <xf numFmtId="0" fontId="12" fillId="3" borderId="1" xfId="0" applyFont="1" applyFill="1" applyBorder="1" applyAlignment="1">
      <alignment horizontal="center"/>
    </xf>
    <xf numFmtId="0" fontId="4" fillId="3" borderId="21" xfId="0" applyFont="1" applyFill="1" applyBorder="1" applyAlignment="1">
      <alignment horizontal="center"/>
    </xf>
    <xf numFmtId="0" fontId="22" fillId="3" borderId="2" xfId="0" applyFont="1" applyFill="1" applyBorder="1" applyAlignment="1">
      <alignment horizontal="center"/>
    </xf>
    <xf numFmtId="0" fontId="22" fillId="3" borderId="5" xfId="0" applyFont="1" applyFill="1" applyBorder="1" applyAlignment="1">
      <alignment horizontal="center"/>
    </xf>
    <xf numFmtId="0" fontId="22" fillId="3" borderId="3" xfId="0" applyFont="1" applyFill="1" applyBorder="1" applyAlignment="1">
      <alignment horizontal="center"/>
    </xf>
    <xf numFmtId="0" fontId="4" fillId="3" borderId="19" xfId="0" applyFont="1" applyFill="1" applyBorder="1" applyAlignment="1">
      <alignment horizontal="center" vertical="center"/>
    </xf>
    <xf numFmtId="2" fontId="4" fillId="3" borderId="5" xfId="0" applyNumberFormat="1" applyFont="1" applyFill="1" applyBorder="1" applyAlignment="1">
      <alignment horizontal="center"/>
    </xf>
    <xf numFmtId="2" fontId="4" fillId="3" borderId="3" xfId="0" applyNumberFormat="1" applyFont="1" applyFill="1" applyBorder="1" applyAlignment="1">
      <alignment horizontal="center"/>
    </xf>
    <xf numFmtId="2" fontId="4" fillId="3" borderId="5" xfId="0" applyNumberFormat="1" applyFont="1" applyFill="1" applyBorder="1" applyAlignment="1">
      <alignment horizontal="center" vertical="center" wrapText="1"/>
    </xf>
    <xf numFmtId="2" fontId="4" fillId="3" borderId="3" xfId="0" applyNumberFormat="1" applyFont="1" applyFill="1" applyBorder="1" applyAlignment="1">
      <alignment horizontal="center" vertical="center" wrapText="1"/>
    </xf>
    <xf numFmtId="0" fontId="8" fillId="3" borderId="0" xfId="0" applyFont="1" applyFill="1" applyAlignment="1">
      <alignment horizontal="center"/>
    </xf>
    <xf numFmtId="164" fontId="4" fillId="3" borderId="5" xfId="0" applyNumberFormat="1" applyFont="1" applyFill="1" applyBorder="1" applyAlignment="1">
      <alignment horizontal="center"/>
    </xf>
    <xf numFmtId="164" fontId="4" fillId="3" borderId="3" xfId="0" applyNumberFormat="1" applyFont="1" applyFill="1" applyBorder="1" applyAlignment="1">
      <alignment horizontal="center"/>
    </xf>
    <xf numFmtId="0" fontId="4" fillId="3" borderId="4"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3" borderId="1" xfId="0" applyFont="1" applyFill="1" applyBorder="1" applyAlignment="1">
      <alignment horizontal="left" wrapText="1"/>
    </xf>
    <xf numFmtId="0" fontId="4" fillId="3" borderId="1" xfId="0" applyFont="1" applyFill="1" applyBorder="1" applyAlignment="1">
      <alignment horizontal="left"/>
    </xf>
    <xf numFmtId="0" fontId="8" fillId="3" borderId="2" xfId="0" applyFont="1" applyFill="1" applyBorder="1" applyAlignment="1">
      <alignment horizontal="center" vertical="center" wrapText="1"/>
    </xf>
    <xf numFmtId="0" fontId="4" fillId="3" borderId="11" xfId="0" applyFont="1" applyFill="1" applyBorder="1" applyAlignment="1">
      <alignment horizontal="center"/>
    </xf>
    <xf numFmtId="0" fontId="8" fillId="3" borderId="11"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1" xfId="0" applyFont="1" applyFill="1" applyBorder="1" applyAlignment="1">
      <alignment horizontal="center" vertical="center"/>
    </xf>
    <xf numFmtId="167" fontId="4" fillId="3" borderId="2" xfId="0" applyNumberFormat="1" applyFont="1" applyFill="1" applyBorder="1" applyAlignment="1">
      <alignment horizontal="center"/>
    </xf>
    <xf numFmtId="167" fontId="4" fillId="3" borderId="3" xfId="0" applyNumberFormat="1" applyFont="1" applyFill="1" applyBorder="1" applyAlignment="1">
      <alignment horizontal="center"/>
    </xf>
    <xf numFmtId="0" fontId="4" fillId="3" borderId="4" xfId="0" applyFont="1" applyFill="1" applyBorder="1" applyAlignment="1">
      <alignment horizontal="left" vertical="center"/>
    </xf>
    <xf numFmtId="0" fontId="4" fillId="3" borderId="19" xfId="0" applyFont="1" applyFill="1" applyBorder="1" applyAlignment="1">
      <alignment horizontal="left" vertical="center"/>
    </xf>
    <xf numFmtId="0" fontId="4" fillId="3" borderId="20" xfId="0" applyFont="1" applyFill="1" applyBorder="1" applyAlignment="1">
      <alignment horizontal="left" vertical="center"/>
    </xf>
    <xf numFmtId="167" fontId="4" fillId="3" borderId="5" xfId="0" applyNumberFormat="1" applyFont="1" applyFill="1" applyBorder="1" applyAlignment="1">
      <alignment horizontal="center" vertical="center" wrapText="1"/>
    </xf>
    <xf numFmtId="167" fontId="4" fillId="3" borderId="3" xfId="0" applyNumberFormat="1" applyFont="1" applyFill="1" applyBorder="1" applyAlignment="1">
      <alignment horizontal="center" vertical="center" wrapText="1"/>
    </xf>
    <xf numFmtId="167" fontId="4" fillId="3" borderId="21" xfId="0" applyNumberFormat="1" applyFont="1" applyFill="1" applyBorder="1" applyAlignment="1">
      <alignment horizontal="center" vertical="center" wrapText="1"/>
    </xf>
    <xf numFmtId="167" fontId="4" fillId="3" borderId="23" xfId="0" applyNumberFormat="1" applyFont="1" applyFill="1" applyBorder="1" applyAlignment="1">
      <alignment horizontal="center" vertical="center" wrapText="1"/>
    </xf>
    <xf numFmtId="0" fontId="4" fillId="3" borderId="1" xfId="0" applyFont="1" applyFill="1" applyBorder="1" applyAlignment="1">
      <alignment horizontal="left" vertical="top" wrapText="1"/>
    </xf>
    <xf numFmtId="0" fontId="8" fillId="3" borderId="22" xfId="0" applyFont="1" applyFill="1" applyBorder="1" applyAlignment="1">
      <alignment horizontal="center" vertical="center" wrapText="1"/>
    </xf>
    <xf numFmtId="0" fontId="8" fillId="3" borderId="23" xfId="0" applyFont="1" applyFill="1" applyBorder="1" applyAlignment="1">
      <alignment horizontal="center" vertical="center" wrapText="1"/>
    </xf>
    <xf numFmtId="0" fontId="13" fillId="3" borderId="15" xfId="0" applyFont="1" applyFill="1" applyBorder="1" applyAlignment="1">
      <alignment horizontal="left"/>
    </xf>
    <xf numFmtId="0" fontId="19" fillId="2" borderId="17"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2" fillId="3" borderId="17" xfId="0" applyFont="1" applyFill="1" applyBorder="1" applyAlignment="1">
      <alignment horizontal="left"/>
    </xf>
    <xf numFmtId="0" fontId="12" fillId="3" borderId="3" xfId="0" applyFont="1" applyFill="1" applyBorder="1" applyAlignment="1">
      <alignment horizontal="left"/>
    </xf>
    <xf numFmtId="0" fontId="12" fillId="3" borderId="29" xfId="0" applyFont="1" applyFill="1" applyBorder="1" applyAlignment="1">
      <alignment horizontal="center" vertical="center" wrapText="1"/>
    </xf>
    <xf numFmtId="0" fontId="12" fillId="3" borderId="11"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2" fillId="3" borderId="11" xfId="0" applyFont="1" applyFill="1" applyBorder="1" applyAlignment="1">
      <alignment horizontal="center"/>
    </xf>
    <xf numFmtId="0" fontId="19" fillId="3" borderId="6" xfId="0" applyFont="1" applyFill="1" applyBorder="1" applyAlignment="1">
      <alignment horizontal="left" vertical="center"/>
    </xf>
    <xf numFmtId="0" fontId="19" fillId="3" borderId="7" xfId="0" applyFont="1" applyFill="1" applyBorder="1" applyAlignment="1">
      <alignment horizontal="left" vertical="center"/>
    </xf>
    <xf numFmtId="0" fontId="19" fillId="3" borderId="2" xfId="0" applyFont="1" applyFill="1" applyBorder="1" applyAlignment="1">
      <alignment horizontal="center" vertical="center" wrapText="1"/>
    </xf>
    <xf numFmtId="0" fontId="12" fillId="3" borderId="46" xfId="0" applyFont="1" applyFill="1" applyBorder="1" applyAlignment="1">
      <alignment horizontal="left"/>
    </xf>
    <xf numFmtId="0" fontId="12" fillId="3" borderId="47" xfId="0" applyFont="1" applyFill="1" applyBorder="1" applyAlignment="1">
      <alignment horizontal="left"/>
    </xf>
    <xf numFmtId="0" fontId="19" fillId="3" borderId="9" xfId="0" applyFont="1" applyFill="1" applyBorder="1" applyAlignment="1">
      <alignment horizontal="center" wrapText="1"/>
    </xf>
    <xf numFmtId="0" fontId="19" fillId="3" borderId="0" xfId="0" applyFont="1" applyFill="1" applyAlignment="1">
      <alignment horizontal="center" wrapText="1"/>
    </xf>
    <xf numFmtId="165" fontId="12" fillId="3" borderId="48" xfId="0" applyNumberFormat="1" applyFont="1" applyFill="1" applyBorder="1" applyAlignment="1">
      <alignment horizontal="center"/>
    </xf>
    <xf numFmtId="165" fontId="12" fillId="3" borderId="47" xfId="0" applyNumberFormat="1" applyFont="1" applyFill="1" applyBorder="1" applyAlignment="1">
      <alignment horizontal="center"/>
    </xf>
    <xf numFmtId="0" fontId="19" fillId="3" borderId="6" xfId="0" applyFont="1" applyFill="1" applyBorder="1" applyAlignment="1">
      <alignment horizontal="left"/>
    </xf>
    <xf numFmtId="0" fontId="19" fillId="3" borderId="7" xfId="0" applyFont="1" applyFill="1" applyBorder="1" applyAlignment="1">
      <alignment horizontal="left"/>
    </xf>
    <xf numFmtId="0" fontId="19" fillId="3" borderId="11" xfId="0" applyFont="1" applyFill="1" applyBorder="1" applyAlignment="1">
      <alignment horizontal="center"/>
    </xf>
    <xf numFmtId="0" fontId="19" fillId="3" borderId="1" xfId="0" applyFont="1" applyFill="1" applyBorder="1" applyAlignment="1">
      <alignment horizontal="center"/>
    </xf>
    <xf numFmtId="0" fontId="19" fillId="3" borderId="6" xfId="0" applyFont="1" applyFill="1" applyBorder="1" applyAlignment="1">
      <alignment horizontal="center" vertical="center" wrapText="1"/>
    </xf>
    <xf numFmtId="0" fontId="19" fillId="3" borderId="7" xfId="0" applyFont="1" applyFill="1" applyBorder="1" applyAlignment="1">
      <alignment horizontal="center" vertical="center" wrapText="1"/>
    </xf>
    <xf numFmtId="0" fontId="19" fillId="3" borderId="45" xfId="0" applyFont="1" applyFill="1" applyBorder="1" applyAlignment="1">
      <alignment horizontal="center" vertical="center" wrapText="1"/>
    </xf>
    <xf numFmtId="0" fontId="19" fillId="3" borderId="36" xfId="0" applyFont="1" applyFill="1" applyBorder="1" applyAlignment="1">
      <alignment horizontal="center" vertical="center" wrapText="1"/>
    </xf>
    <xf numFmtId="0" fontId="12" fillId="3" borderId="0" xfId="0" applyFont="1" applyFill="1" applyAlignment="1">
      <alignment horizontal="center"/>
    </xf>
    <xf numFmtId="0" fontId="12" fillId="3" borderId="29" xfId="0" applyFont="1" applyFill="1" applyBorder="1" applyAlignment="1">
      <alignment horizontal="center" vertical="center"/>
    </xf>
    <xf numFmtId="0" fontId="12" fillId="3" borderId="11" xfId="0" applyFont="1" applyFill="1" applyBorder="1" applyAlignment="1">
      <alignment horizontal="center" vertical="center"/>
    </xf>
    <xf numFmtId="0" fontId="12" fillId="3" borderId="33" xfId="0" applyFont="1" applyFill="1" applyBorder="1" applyAlignment="1">
      <alignment horizontal="center" vertical="center"/>
    </xf>
    <xf numFmtId="0" fontId="4" fillId="3" borderId="0" xfId="0" applyFont="1" applyFill="1" applyAlignment="1">
      <alignment horizontal="center" vertical="center" wrapText="1"/>
    </xf>
    <xf numFmtId="0" fontId="16" fillId="3" borderId="36" xfId="0" applyFont="1" applyFill="1" applyBorder="1" applyAlignment="1">
      <alignment horizontal="center"/>
    </xf>
    <xf numFmtId="0" fontId="10" fillId="3" borderId="0" xfId="0" applyFont="1" applyFill="1" applyAlignment="1">
      <alignment horizontal="left"/>
    </xf>
    <xf numFmtId="0" fontId="16" fillId="3" borderId="0" xfId="0" applyFont="1" applyFill="1" applyAlignment="1">
      <alignment horizontal="center"/>
    </xf>
    <xf numFmtId="0" fontId="4" fillId="3" borderId="0" xfId="0" applyFont="1" applyFill="1" applyAlignment="1">
      <alignment horizontal="center" vertical="center"/>
    </xf>
    <xf numFmtId="0" fontId="8" fillId="3" borderId="7" xfId="0" applyFont="1" applyFill="1" applyBorder="1" applyAlignment="1">
      <alignment horizontal="center"/>
    </xf>
    <xf numFmtId="0" fontId="10" fillId="3" borderId="7" xfId="0" applyFont="1" applyFill="1" applyBorder="1" applyAlignment="1">
      <alignment horizontal="left"/>
    </xf>
    <xf numFmtId="0" fontId="8" fillId="3" borderId="17" xfId="0" applyFont="1" applyFill="1" applyBorder="1" applyAlignment="1">
      <alignment horizontal="left"/>
    </xf>
    <xf numFmtId="0" fontId="8" fillId="3" borderId="3" xfId="0" applyFont="1" applyFill="1" applyBorder="1" applyAlignment="1">
      <alignment horizontal="left"/>
    </xf>
    <xf numFmtId="0" fontId="8" fillId="3" borderId="2" xfId="0" applyFont="1" applyFill="1" applyBorder="1" applyAlignment="1">
      <alignment horizontal="center"/>
    </xf>
    <xf numFmtId="0" fontId="8" fillId="4" borderId="1" xfId="0" applyFont="1" applyFill="1" applyBorder="1" applyAlignment="1">
      <alignment horizontal="center" vertical="center" wrapText="1"/>
    </xf>
    <xf numFmtId="164" fontId="4" fillId="4" borderId="1" xfId="0" applyNumberFormat="1" applyFont="1" applyFill="1" applyBorder="1" applyAlignment="1">
      <alignment horizontal="center"/>
    </xf>
    <xf numFmtId="0" fontId="13" fillId="3" borderId="15" xfId="0" applyFont="1" applyFill="1" applyBorder="1" applyAlignment="1">
      <alignment horizontal="left" wrapText="1"/>
    </xf>
    <xf numFmtId="0" fontId="10" fillId="3" borderId="57" xfId="0" applyFont="1" applyFill="1" applyBorder="1" applyAlignment="1">
      <alignment horizontal="center"/>
    </xf>
    <xf numFmtId="0" fontId="10" fillId="3" borderId="58" xfId="0" applyFont="1" applyFill="1" applyBorder="1" applyAlignment="1">
      <alignment horizontal="center"/>
    </xf>
    <xf numFmtId="0" fontId="10" fillId="3" borderId="7" xfId="0" applyFont="1" applyFill="1" applyBorder="1" applyAlignment="1">
      <alignment horizontal="center" wrapText="1"/>
    </xf>
    <xf numFmtId="0" fontId="10" fillId="3" borderId="36" xfId="0" applyFont="1" applyFill="1" applyBorder="1" applyAlignment="1">
      <alignment horizontal="center" wrapText="1"/>
    </xf>
    <xf numFmtId="0" fontId="10" fillId="3" borderId="6" xfId="0" applyFont="1" applyFill="1" applyBorder="1" applyAlignment="1">
      <alignment horizontal="left"/>
    </xf>
    <xf numFmtId="0" fontId="10" fillId="3" borderId="8" xfId="0" applyFont="1" applyFill="1" applyBorder="1" applyAlignment="1">
      <alignment horizontal="left"/>
    </xf>
    <xf numFmtId="0" fontId="6" fillId="3" borderId="15" xfId="0" applyFont="1" applyFill="1" applyBorder="1" applyAlignment="1">
      <alignment horizontal="left"/>
    </xf>
    <xf numFmtId="0" fontId="8" fillId="3" borderId="20" xfId="0" applyFont="1" applyFill="1" applyBorder="1" applyAlignment="1">
      <alignment horizontal="center"/>
    </xf>
    <xf numFmtId="0" fontId="8" fillId="3" borderId="24" xfId="0" applyFont="1" applyFill="1" applyBorder="1" applyAlignment="1">
      <alignment horizontal="center"/>
    </xf>
    <xf numFmtId="0" fontId="8" fillId="3" borderId="36" xfId="0" applyFont="1" applyFill="1" applyBorder="1" applyAlignment="1">
      <alignment horizontal="center"/>
    </xf>
    <xf numFmtId="0" fontId="8" fillId="3" borderId="25" xfId="0" applyFont="1" applyFill="1" applyBorder="1" applyAlignment="1">
      <alignment horizontal="center"/>
    </xf>
    <xf numFmtId="0" fontId="8" fillId="0" borderId="24" xfId="0" applyFont="1" applyBorder="1" applyAlignment="1">
      <alignment horizontal="center" vertical="center" wrapText="1"/>
    </xf>
    <xf numFmtId="0" fontId="8" fillId="0" borderId="25" xfId="0" applyFont="1" applyBorder="1" applyAlignment="1">
      <alignment horizontal="center" vertical="center" wrapText="1"/>
    </xf>
    <xf numFmtId="0" fontId="4" fillId="0" borderId="2" xfId="0" applyFont="1" applyBorder="1" applyAlignment="1">
      <alignment horizontal="left"/>
    </xf>
    <xf numFmtId="0" fontId="4" fillId="0" borderId="5" xfId="0" applyFont="1" applyBorder="1" applyAlignment="1">
      <alignment horizontal="left"/>
    </xf>
    <xf numFmtId="0" fontId="4" fillId="0" borderId="3" xfId="0" applyFont="1" applyBorder="1" applyAlignment="1">
      <alignment horizontal="left"/>
    </xf>
    <xf numFmtId="0" fontId="12" fillId="0" borderId="2" xfId="0" applyFont="1" applyBorder="1" applyAlignment="1">
      <alignment horizontal="left"/>
    </xf>
    <xf numFmtId="0" fontId="12" fillId="0" borderId="5" xfId="0" applyFont="1" applyBorder="1" applyAlignment="1">
      <alignment horizontal="left"/>
    </xf>
    <xf numFmtId="0" fontId="12" fillId="0" borderId="3" xfId="0" applyFont="1" applyBorder="1" applyAlignment="1">
      <alignment horizontal="left"/>
    </xf>
    <xf numFmtId="0" fontId="4" fillId="3" borderId="2" xfId="0" applyFont="1" applyFill="1" applyBorder="1" applyAlignment="1">
      <alignment horizontal="left" wrapText="1"/>
    </xf>
    <xf numFmtId="0" fontId="4" fillId="3" borderId="3" xfId="0" applyFont="1" applyFill="1" applyBorder="1" applyAlignment="1">
      <alignment horizontal="left" wrapText="1"/>
    </xf>
    <xf numFmtId="0" fontId="27" fillId="3" borderId="0" xfId="0" applyFont="1" applyFill="1" applyAlignment="1">
      <alignment horizontal="center" vertical="center"/>
    </xf>
    <xf numFmtId="0" fontId="20" fillId="0" borderId="1" xfId="0" applyFont="1" applyBorder="1" applyAlignment="1">
      <alignment horizontal="left" vertical="top" wrapText="1"/>
    </xf>
    <xf numFmtId="0" fontId="4" fillId="3" borderId="59" xfId="0" applyFont="1" applyFill="1" applyBorder="1" applyAlignment="1">
      <alignment horizontal="center"/>
    </xf>
    <xf numFmtId="0" fontId="4" fillId="3" borderId="23" xfId="0" applyFont="1" applyFill="1" applyBorder="1" applyAlignment="1">
      <alignment horizontal="center"/>
    </xf>
    <xf numFmtId="0" fontId="4" fillId="3" borderId="9" xfId="0" applyFont="1" applyFill="1" applyBorder="1" applyAlignment="1">
      <alignment horizontal="center"/>
    </xf>
    <xf numFmtId="0" fontId="4" fillId="3" borderId="27" xfId="0" applyFont="1" applyFill="1" applyBorder="1" applyAlignment="1">
      <alignment horizontal="center"/>
    </xf>
    <xf numFmtId="0" fontId="4" fillId="3" borderId="45" xfId="0" applyFont="1" applyFill="1" applyBorder="1" applyAlignment="1">
      <alignment horizontal="center"/>
    </xf>
    <xf numFmtId="0" fontId="4" fillId="3" borderId="25" xfId="0" applyFont="1" applyFill="1" applyBorder="1" applyAlignment="1">
      <alignment horizontal="center"/>
    </xf>
    <xf numFmtId="0" fontId="4" fillId="3" borderId="59" xfId="0" applyFont="1" applyFill="1" applyBorder="1" applyAlignment="1">
      <alignment horizontal="center" vertical="center"/>
    </xf>
    <xf numFmtId="0" fontId="4" fillId="3" borderId="23" xfId="0" applyFont="1" applyFill="1" applyBorder="1" applyAlignment="1">
      <alignment horizontal="center" vertical="center"/>
    </xf>
    <xf numFmtId="0" fontId="4" fillId="3" borderId="9"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5"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5" xfId="0" applyFont="1" applyFill="1" applyBorder="1" applyAlignment="1">
      <alignment horizontal="left"/>
    </xf>
    <xf numFmtId="0" fontId="13" fillId="3" borderId="9" xfId="0" applyFont="1" applyFill="1" applyBorder="1" applyAlignment="1">
      <alignment horizontal="left"/>
    </xf>
    <xf numFmtId="0" fontId="13" fillId="3" borderId="0" xfId="0" applyFont="1" applyFill="1" applyAlignment="1">
      <alignment horizontal="left"/>
    </xf>
    <xf numFmtId="0" fontId="4" fillId="3" borderId="11" xfId="0" applyFont="1" applyFill="1" applyBorder="1" applyAlignment="1">
      <alignment horizontal="center" vertical="center"/>
    </xf>
    <xf numFmtId="0" fontId="4" fillId="3" borderId="11" xfId="0" applyFont="1" applyFill="1" applyBorder="1" applyAlignment="1">
      <alignment horizontal="center" wrapText="1"/>
    </xf>
    <xf numFmtId="0" fontId="4" fillId="3" borderId="17" xfId="0" applyFont="1" applyFill="1" applyBorder="1" applyAlignment="1">
      <alignment horizontal="center" wrapText="1"/>
    </xf>
    <xf numFmtId="0" fontId="4" fillId="3" borderId="5" xfId="0" applyFont="1" applyFill="1" applyBorder="1" applyAlignment="1">
      <alignment horizontal="center" wrapText="1"/>
    </xf>
    <xf numFmtId="0" fontId="4" fillId="3" borderId="3" xfId="0" applyFont="1" applyFill="1" applyBorder="1" applyAlignment="1">
      <alignment horizontal="center" wrapText="1"/>
    </xf>
    <xf numFmtId="164" fontId="4" fillId="3" borderId="1" xfId="0" applyNumberFormat="1" applyFont="1" applyFill="1" applyBorder="1" applyAlignment="1">
      <alignment horizontal="right" vertical="center"/>
    </xf>
    <xf numFmtId="0" fontId="8" fillId="2" borderId="11" xfId="0" applyFont="1" applyFill="1" applyBorder="1" applyAlignment="1">
      <alignment horizontal="center" vertical="center" wrapText="1"/>
    </xf>
    <xf numFmtId="0" fontId="8" fillId="2" borderId="1" xfId="0" applyFont="1" applyFill="1" applyBorder="1" applyAlignment="1">
      <alignment horizontal="center" vertical="center" wrapText="1"/>
    </xf>
  </cellXfs>
  <cellStyles count="3">
    <cellStyle name="Hipervínculo" xfId="1" builtinId="8"/>
    <cellStyle name="Normal" xfId="0" builtinId="0"/>
    <cellStyle name="Porcentaje" xfId="2" builtinId="5"/>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r>
              <a:rPr lang="es-CR"/>
              <a:t>Sección</a:t>
            </a:r>
            <a:r>
              <a:rPr lang="es-CR" baseline="0"/>
              <a:t> transversal (m)</a:t>
            </a:r>
            <a:endParaRPr lang="es-C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endParaRPr lang="es-CR"/>
        </a:p>
      </c:txPr>
    </c:title>
    <c:autoTitleDeleted val="0"/>
    <c:plotArea>
      <c:layout/>
      <c:scatterChart>
        <c:scatterStyle val="lineMarker"/>
        <c:varyColors val="0"/>
        <c:ser>
          <c:idx val="0"/>
          <c:order val="0"/>
          <c:tx>
            <c:v>Sección transversal</c:v>
          </c:tx>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'Calculo Caudal o Tirante'!$F$27:$F$30</c:f>
              <c:numCache>
                <c:formatCode>0.000</c:formatCode>
                <c:ptCount val="4"/>
                <c:pt idx="0">
                  <c:v>0</c:v>
                </c:pt>
                <c:pt idx="1">
                  <c:v>1.6</c:v>
                </c:pt>
                <c:pt idx="2">
                  <c:v>2.6</c:v>
                </c:pt>
                <c:pt idx="3">
                  <c:v>4.2</c:v>
                </c:pt>
              </c:numCache>
            </c:numRef>
          </c:xVal>
          <c:yVal>
            <c:numRef>
              <c:f>'Calculo Caudal o Tirante'!$H$27:$H$30</c:f>
              <c:numCache>
                <c:formatCode>0.000</c:formatCode>
                <c:ptCount val="4"/>
                <c:pt idx="0">
                  <c:v>0</c:v>
                </c:pt>
                <c:pt idx="1">
                  <c:v>-1.6</c:v>
                </c:pt>
                <c:pt idx="2">
                  <c:v>-1.6</c:v>
                </c:pt>
                <c:pt idx="3">
                  <c:v>0</c:v>
                </c:pt>
              </c:numCache>
            </c:numRef>
          </c:yVal>
          <c:smooth val="0"/>
          <c:extLst>
            <c:ext xmlns:c16="http://schemas.microsoft.com/office/drawing/2014/chart" uri="{C3380CC4-5D6E-409C-BE32-E72D297353CC}">
              <c16:uniqueId val="{00000000-AA5A-4C30-B8A5-55A84D1995DA}"/>
            </c:ext>
          </c:extLst>
        </c:ser>
        <c:dLbls>
          <c:showLegendKey val="0"/>
          <c:showVal val="0"/>
          <c:showCatName val="0"/>
          <c:showSerName val="0"/>
          <c:showPercent val="0"/>
          <c:showBubbleSize val="0"/>
        </c:dLbls>
        <c:axId val="467277976"/>
        <c:axId val="467278368"/>
      </c:scatterChart>
      <c:valAx>
        <c:axId val="467277976"/>
        <c:scaling>
          <c:orientation val="maxMin"/>
        </c:scaling>
        <c:delete val="0"/>
        <c:axPos val="b"/>
        <c:majorGridlines>
          <c:spPr>
            <a:ln w="9525" cap="flat" cmpd="sng" algn="ctr">
              <a:solidFill>
                <a:schemeClr val="lt1">
                  <a:lumMod val="95000"/>
                  <a:alpha val="10000"/>
                </a:schemeClr>
              </a:solidFill>
              <a:round/>
            </a:ln>
            <a:effectLst/>
          </c:spPr>
        </c:majorGridlines>
        <c:numFmt formatCode="0.000" sourceLinked="1"/>
        <c:majorTickMark val="none"/>
        <c:minorTickMark val="none"/>
        <c:tickLblPos val="high"/>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Arial" panose="020B0604020202020204" pitchFamily="34" charset="0"/>
                <a:ea typeface="+mn-ea"/>
                <a:cs typeface="Arial" panose="020B0604020202020204" pitchFamily="34" charset="0"/>
              </a:defRPr>
            </a:pPr>
            <a:endParaRPr lang="es-CR"/>
          </a:p>
        </c:txPr>
        <c:crossAx val="467278368"/>
        <c:crosses val="autoZero"/>
        <c:crossBetween val="midCat"/>
      </c:valAx>
      <c:valAx>
        <c:axId val="467278368"/>
        <c:scaling>
          <c:orientation val="minMax"/>
        </c:scaling>
        <c:delete val="0"/>
        <c:axPos val="r"/>
        <c:majorGridlines>
          <c:spPr>
            <a:ln w="9525" cap="flat" cmpd="sng" algn="ctr">
              <a:solidFill>
                <a:schemeClr val="lt1">
                  <a:lumMod val="95000"/>
                  <a:alpha val="10000"/>
                </a:schemeClr>
              </a:solidFill>
              <a:round/>
            </a:ln>
            <a:effectLst/>
          </c:spPr>
        </c:majorGridlines>
        <c:numFmt formatCode="0.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Arial" panose="020B0604020202020204" pitchFamily="34" charset="0"/>
                <a:ea typeface="+mn-ea"/>
                <a:cs typeface="Arial" panose="020B0604020202020204" pitchFamily="34" charset="0"/>
              </a:defRPr>
            </a:pPr>
            <a:endParaRPr lang="es-CR"/>
          </a:p>
        </c:txPr>
        <c:crossAx val="467277976"/>
        <c:crosses val="autoZero"/>
        <c:crossBetween val="midCat"/>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latin typeface="Arial" panose="020B0604020202020204" pitchFamily="34" charset="0"/>
          <a:cs typeface="Arial" panose="020B0604020202020204" pitchFamily="34" charset="0"/>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CR"/>
              <a:t>Vista de planta Transición Alabeada (m)</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lotArea>
      <c:layout/>
      <c:scatterChart>
        <c:scatterStyle val="lineMarker"/>
        <c:varyColors val="0"/>
        <c:ser>
          <c:idx val="0"/>
          <c:order val="0"/>
          <c:tx>
            <c:strRef>
              <c:f>Transición!$I$82</c:f>
              <c:strCache>
                <c:ptCount val="1"/>
                <c:pt idx="0">
                  <c:v>Is</c:v>
                </c:pt>
              </c:strCache>
            </c:strRef>
          </c:tx>
          <c:spPr>
            <a:ln w="9525" cap="rnd">
              <a:solidFill>
                <a:schemeClr val="accent1">
                  <a:lumMod val="60000"/>
                  <a:lumOff val="40000"/>
                </a:schemeClr>
              </a:solidFill>
              <a:round/>
            </a:ln>
            <a:effectLst>
              <a:outerShdw blurRad="57150" dist="19050" dir="5400000" algn="ctr" rotWithShape="0">
                <a:srgbClr val="000000">
                  <a:alpha val="63000"/>
                </a:srgbClr>
              </a:outerShdw>
            </a:effectLst>
          </c:spPr>
          <c:marker>
            <c:symbol val="none"/>
          </c:marker>
          <c:xVal>
            <c:numRef>
              <c:f>Transición!$H$83:$H$90</c:f>
              <c:numCache>
                <c:formatCode>0.00</c:formatCode>
                <c:ptCount val="8"/>
                <c:pt idx="0" formatCode="General">
                  <c:v>0</c:v>
                </c:pt>
                <c:pt idx="1">
                  <c:v>20</c:v>
                </c:pt>
                <c:pt idx="2">
                  <c:v>21.5</c:v>
                </c:pt>
                <c:pt idx="3">
                  <c:v>23</c:v>
                </c:pt>
                <c:pt idx="4">
                  <c:v>24.5</c:v>
                </c:pt>
                <c:pt idx="5">
                  <c:v>26</c:v>
                </c:pt>
                <c:pt idx="6">
                  <c:v>27.5</c:v>
                </c:pt>
                <c:pt idx="7">
                  <c:v>47.5</c:v>
                </c:pt>
              </c:numCache>
            </c:numRef>
          </c:xVal>
          <c:yVal>
            <c:numRef>
              <c:f>Transición!$I$83:$I$90</c:f>
              <c:numCache>
                <c:formatCode>0.0000</c:formatCode>
                <c:ptCount val="8"/>
                <c:pt idx="0">
                  <c:v>-1.75</c:v>
                </c:pt>
                <c:pt idx="1">
                  <c:v>-1.75</c:v>
                </c:pt>
                <c:pt idx="2">
                  <c:v>-1.7026020708700709</c:v>
                </c:pt>
                <c:pt idx="3">
                  <c:v>-1.8845091631663</c:v>
                </c:pt>
                <c:pt idx="4">
                  <c:v>-1.9872879122572149</c:v>
                </c:pt>
                <c:pt idx="5">
                  <c:v>-2.2618964758731632</c:v>
                </c:pt>
                <c:pt idx="6">
                  <c:v>-2.6500000000000004</c:v>
                </c:pt>
                <c:pt idx="7">
                  <c:v>-2.6500000000000004</c:v>
                </c:pt>
              </c:numCache>
            </c:numRef>
          </c:yVal>
          <c:smooth val="0"/>
          <c:extLst>
            <c:ext xmlns:c16="http://schemas.microsoft.com/office/drawing/2014/chart" uri="{C3380CC4-5D6E-409C-BE32-E72D297353CC}">
              <c16:uniqueId val="{00000000-7A34-4389-9D11-D2551FBC8185}"/>
            </c:ext>
          </c:extLst>
        </c:ser>
        <c:ser>
          <c:idx val="1"/>
          <c:order val="1"/>
          <c:tx>
            <c:strRef>
              <c:f>Transición!$J$82</c:f>
              <c:strCache>
                <c:ptCount val="1"/>
                <c:pt idx="0">
                  <c:v>Ii</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Transición!$H$83:$H$90</c:f>
              <c:numCache>
                <c:formatCode>0.00</c:formatCode>
                <c:ptCount val="8"/>
                <c:pt idx="0" formatCode="General">
                  <c:v>0</c:v>
                </c:pt>
                <c:pt idx="1">
                  <c:v>20</c:v>
                </c:pt>
                <c:pt idx="2">
                  <c:v>21.5</c:v>
                </c:pt>
                <c:pt idx="3">
                  <c:v>23</c:v>
                </c:pt>
                <c:pt idx="4">
                  <c:v>24.5</c:v>
                </c:pt>
                <c:pt idx="5">
                  <c:v>26</c:v>
                </c:pt>
                <c:pt idx="6">
                  <c:v>27.5</c:v>
                </c:pt>
                <c:pt idx="7">
                  <c:v>47.5</c:v>
                </c:pt>
              </c:numCache>
            </c:numRef>
          </c:xVal>
          <c:yVal>
            <c:numRef>
              <c:f>Transición!$J$83:$J$90</c:f>
              <c:numCache>
                <c:formatCode>0.0000</c:formatCode>
                <c:ptCount val="8"/>
                <c:pt idx="0">
                  <c:v>-0.75</c:v>
                </c:pt>
                <c:pt idx="1">
                  <c:v>-0.75</c:v>
                </c:pt>
                <c:pt idx="2">
                  <c:v>-0.75509430682003309</c:v>
                </c:pt>
                <c:pt idx="3">
                  <c:v>-0.77180749778704183</c:v>
                </c:pt>
                <c:pt idx="4">
                  <c:v>-0.8035156782740529</c:v>
                </c:pt>
                <c:pt idx="5">
                  <c:v>-0.85786395339814014</c:v>
                </c:pt>
                <c:pt idx="6">
                  <c:v>-1</c:v>
                </c:pt>
                <c:pt idx="7">
                  <c:v>-1</c:v>
                </c:pt>
              </c:numCache>
            </c:numRef>
          </c:yVal>
          <c:smooth val="0"/>
          <c:extLst>
            <c:ext xmlns:c16="http://schemas.microsoft.com/office/drawing/2014/chart" uri="{C3380CC4-5D6E-409C-BE32-E72D297353CC}">
              <c16:uniqueId val="{00000001-7A34-4389-9D11-D2551FBC8185}"/>
            </c:ext>
          </c:extLst>
        </c:ser>
        <c:ser>
          <c:idx val="2"/>
          <c:order val="2"/>
          <c:tx>
            <c:strRef>
              <c:f>Transición!$K$82</c:f>
              <c:strCache>
                <c:ptCount val="1"/>
                <c:pt idx="0">
                  <c:v>Di</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Transición!$H$83:$H$90</c:f>
              <c:numCache>
                <c:formatCode>0.00</c:formatCode>
                <c:ptCount val="8"/>
                <c:pt idx="0" formatCode="General">
                  <c:v>0</c:v>
                </c:pt>
                <c:pt idx="1">
                  <c:v>20</c:v>
                </c:pt>
                <c:pt idx="2">
                  <c:v>21.5</c:v>
                </c:pt>
                <c:pt idx="3">
                  <c:v>23</c:v>
                </c:pt>
                <c:pt idx="4">
                  <c:v>24.5</c:v>
                </c:pt>
                <c:pt idx="5">
                  <c:v>26</c:v>
                </c:pt>
                <c:pt idx="6">
                  <c:v>27.5</c:v>
                </c:pt>
                <c:pt idx="7">
                  <c:v>47.5</c:v>
                </c:pt>
              </c:numCache>
            </c:numRef>
          </c:xVal>
          <c:yVal>
            <c:numRef>
              <c:f>Transición!$K$83:$K$90</c:f>
              <c:numCache>
                <c:formatCode>0.0000</c:formatCode>
                <c:ptCount val="8"/>
                <c:pt idx="0">
                  <c:v>0.75</c:v>
                </c:pt>
                <c:pt idx="1">
                  <c:v>0.75</c:v>
                </c:pt>
                <c:pt idx="2">
                  <c:v>0.75509430682003309</c:v>
                </c:pt>
                <c:pt idx="3">
                  <c:v>0.77180749778704183</c:v>
                </c:pt>
                <c:pt idx="4">
                  <c:v>0.8035156782740529</c:v>
                </c:pt>
                <c:pt idx="5">
                  <c:v>0.85786395339814014</c:v>
                </c:pt>
                <c:pt idx="6">
                  <c:v>1</c:v>
                </c:pt>
                <c:pt idx="7">
                  <c:v>1</c:v>
                </c:pt>
              </c:numCache>
            </c:numRef>
          </c:yVal>
          <c:smooth val="0"/>
          <c:extLst>
            <c:ext xmlns:c16="http://schemas.microsoft.com/office/drawing/2014/chart" uri="{C3380CC4-5D6E-409C-BE32-E72D297353CC}">
              <c16:uniqueId val="{00000002-7A34-4389-9D11-D2551FBC8185}"/>
            </c:ext>
          </c:extLst>
        </c:ser>
        <c:ser>
          <c:idx val="3"/>
          <c:order val="3"/>
          <c:tx>
            <c:strRef>
              <c:f>Transición!$L$82</c:f>
              <c:strCache>
                <c:ptCount val="1"/>
                <c:pt idx="0">
                  <c:v>Ds</c:v>
                </c:pt>
              </c:strCache>
            </c:strRef>
          </c:tx>
          <c:spPr>
            <a:ln w="9525" cap="rnd">
              <a:solidFill>
                <a:schemeClr val="accent1">
                  <a:lumMod val="60000"/>
                  <a:lumOff val="40000"/>
                </a:schemeClr>
              </a:solidFill>
              <a:round/>
            </a:ln>
            <a:effectLst>
              <a:outerShdw blurRad="57150" dist="19050" dir="5400000" algn="ctr" rotWithShape="0">
                <a:srgbClr val="000000">
                  <a:alpha val="63000"/>
                </a:srgbClr>
              </a:outerShdw>
            </a:effectLst>
          </c:spPr>
          <c:marker>
            <c:symbol val="none"/>
          </c:marker>
          <c:xVal>
            <c:numRef>
              <c:f>Transición!$H$83:$H$90</c:f>
              <c:numCache>
                <c:formatCode>0.00</c:formatCode>
                <c:ptCount val="8"/>
                <c:pt idx="0" formatCode="General">
                  <c:v>0</c:v>
                </c:pt>
                <c:pt idx="1">
                  <c:v>20</c:v>
                </c:pt>
                <c:pt idx="2">
                  <c:v>21.5</c:v>
                </c:pt>
                <c:pt idx="3">
                  <c:v>23</c:v>
                </c:pt>
                <c:pt idx="4">
                  <c:v>24.5</c:v>
                </c:pt>
                <c:pt idx="5">
                  <c:v>26</c:v>
                </c:pt>
                <c:pt idx="6">
                  <c:v>27.5</c:v>
                </c:pt>
                <c:pt idx="7">
                  <c:v>47.5</c:v>
                </c:pt>
              </c:numCache>
            </c:numRef>
          </c:xVal>
          <c:yVal>
            <c:numRef>
              <c:f>Transición!$L$83:$L$90</c:f>
              <c:numCache>
                <c:formatCode>0.0000</c:formatCode>
                <c:ptCount val="8"/>
                <c:pt idx="0">
                  <c:v>1.75</c:v>
                </c:pt>
                <c:pt idx="1">
                  <c:v>1.75</c:v>
                </c:pt>
                <c:pt idx="2">
                  <c:v>1.7026020708700709</c:v>
                </c:pt>
                <c:pt idx="3">
                  <c:v>1.8845091631663</c:v>
                </c:pt>
                <c:pt idx="4">
                  <c:v>1.9872879122572149</c:v>
                </c:pt>
                <c:pt idx="5">
                  <c:v>2.2618964758731632</c:v>
                </c:pt>
                <c:pt idx="6">
                  <c:v>2.6500000000000004</c:v>
                </c:pt>
                <c:pt idx="7">
                  <c:v>2.6500000000000004</c:v>
                </c:pt>
              </c:numCache>
            </c:numRef>
          </c:yVal>
          <c:smooth val="0"/>
          <c:extLst>
            <c:ext xmlns:c16="http://schemas.microsoft.com/office/drawing/2014/chart" uri="{C3380CC4-5D6E-409C-BE32-E72D297353CC}">
              <c16:uniqueId val="{00000003-7A34-4389-9D11-D2551FBC8185}"/>
            </c:ext>
          </c:extLst>
        </c:ser>
        <c:dLbls>
          <c:showLegendKey val="0"/>
          <c:showVal val="0"/>
          <c:showCatName val="0"/>
          <c:showSerName val="0"/>
          <c:showPercent val="0"/>
          <c:showBubbleSize val="0"/>
        </c:dLbls>
        <c:axId val="467279544"/>
        <c:axId val="467279936"/>
      </c:scatterChart>
      <c:valAx>
        <c:axId val="467279544"/>
        <c:scaling>
          <c:orientation val="minMax"/>
          <c:min val="0"/>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7279936"/>
        <c:crossesAt val="-6"/>
        <c:crossBetween val="midCat"/>
      </c:valAx>
      <c:valAx>
        <c:axId val="467279936"/>
        <c:scaling>
          <c:orientation val="minMax"/>
        </c:scaling>
        <c:delete val="0"/>
        <c:axPos val="r"/>
        <c:majorGridlines>
          <c:spPr>
            <a:ln w="9525" cap="flat" cmpd="sng" algn="ctr">
              <a:solidFill>
                <a:schemeClr val="lt1">
                  <a:lumMod val="95000"/>
                  <a:alpha val="10000"/>
                </a:schemeClr>
              </a:solidFill>
              <a:round/>
            </a:ln>
            <a:effectLst/>
          </c:spPr>
        </c:majorGridlines>
        <c:numFmt formatCode="0.0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7279544"/>
        <c:crosses val="max"/>
        <c:crossBetween val="midCat"/>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CR"/>
              <a:t>Vista de planta Transición Recta (m)</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lotArea>
      <c:layout/>
      <c:scatterChart>
        <c:scatterStyle val="lineMarker"/>
        <c:varyColors val="0"/>
        <c:ser>
          <c:idx val="0"/>
          <c:order val="0"/>
          <c:tx>
            <c:strRef>
              <c:f>Transición!$B$67</c:f>
              <c:strCache>
                <c:ptCount val="1"/>
                <c:pt idx="0">
                  <c:v>Is</c:v>
                </c:pt>
              </c:strCache>
            </c:strRef>
          </c:tx>
          <c:spPr>
            <a:ln w="9525" cap="rnd">
              <a:solidFill>
                <a:schemeClr val="accent1">
                  <a:lumMod val="60000"/>
                  <a:lumOff val="40000"/>
                </a:schemeClr>
              </a:solidFill>
              <a:round/>
            </a:ln>
            <a:effectLst>
              <a:outerShdw blurRad="57150" dist="19050" dir="5400000" algn="ctr" rotWithShape="0">
                <a:srgbClr val="000000">
                  <a:alpha val="63000"/>
                </a:srgbClr>
              </a:outerShdw>
            </a:effectLst>
          </c:spPr>
          <c:marker>
            <c:symbol val="none"/>
          </c:marker>
          <c:xVal>
            <c:numRef>
              <c:f>Transición!$A$68:$A$71</c:f>
              <c:numCache>
                <c:formatCode>0.00</c:formatCode>
                <c:ptCount val="4"/>
                <c:pt idx="0" formatCode="General">
                  <c:v>0</c:v>
                </c:pt>
                <c:pt idx="1">
                  <c:v>20</c:v>
                </c:pt>
                <c:pt idx="2">
                  <c:v>23.6</c:v>
                </c:pt>
                <c:pt idx="3">
                  <c:v>43.6</c:v>
                </c:pt>
              </c:numCache>
            </c:numRef>
          </c:xVal>
          <c:yVal>
            <c:numRef>
              <c:f>Transición!$B$68:$B$71</c:f>
              <c:numCache>
                <c:formatCode>0.00</c:formatCode>
                <c:ptCount val="4"/>
                <c:pt idx="0">
                  <c:v>-1.75</c:v>
                </c:pt>
                <c:pt idx="1">
                  <c:v>-1.75</c:v>
                </c:pt>
                <c:pt idx="2">
                  <c:v>-2.6500000000000004</c:v>
                </c:pt>
                <c:pt idx="3">
                  <c:v>-2.6500000000000004</c:v>
                </c:pt>
              </c:numCache>
            </c:numRef>
          </c:yVal>
          <c:smooth val="0"/>
          <c:extLst>
            <c:ext xmlns:c16="http://schemas.microsoft.com/office/drawing/2014/chart" uri="{C3380CC4-5D6E-409C-BE32-E72D297353CC}">
              <c16:uniqueId val="{00000000-02FC-406B-B135-3C96D597B57B}"/>
            </c:ext>
          </c:extLst>
        </c:ser>
        <c:ser>
          <c:idx val="1"/>
          <c:order val="1"/>
          <c:tx>
            <c:strRef>
              <c:f>Transición!$C$67</c:f>
              <c:strCache>
                <c:ptCount val="1"/>
                <c:pt idx="0">
                  <c:v>Ii</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Transición!$A$68:$A$71</c:f>
              <c:numCache>
                <c:formatCode>0.00</c:formatCode>
                <c:ptCount val="4"/>
                <c:pt idx="0" formatCode="General">
                  <c:v>0</c:v>
                </c:pt>
                <c:pt idx="1">
                  <c:v>20</c:v>
                </c:pt>
                <c:pt idx="2">
                  <c:v>23.6</c:v>
                </c:pt>
                <c:pt idx="3">
                  <c:v>43.6</c:v>
                </c:pt>
              </c:numCache>
            </c:numRef>
          </c:xVal>
          <c:yVal>
            <c:numRef>
              <c:f>Transición!$C$68:$C$71</c:f>
              <c:numCache>
                <c:formatCode>0.00</c:formatCode>
                <c:ptCount val="4"/>
                <c:pt idx="0">
                  <c:v>-0.75</c:v>
                </c:pt>
                <c:pt idx="1">
                  <c:v>-0.75</c:v>
                </c:pt>
                <c:pt idx="2">
                  <c:v>-1</c:v>
                </c:pt>
                <c:pt idx="3">
                  <c:v>-1</c:v>
                </c:pt>
              </c:numCache>
            </c:numRef>
          </c:yVal>
          <c:smooth val="0"/>
          <c:extLst>
            <c:ext xmlns:c16="http://schemas.microsoft.com/office/drawing/2014/chart" uri="{C3380CC4-5D6E-409C-BE32-E72D297353CC}">
              <c16:uniqueId val="{00000001-02FC-406B-B135-3C96D597B57B}"/>
            </c:ext>
          </c:extLst>
        </c:ser>
        <c:ser>
          <c:idx val="2"/>
          <c:order val="2"/>
          <c:tx>
            <c:strRef>
              <c:f>Transición!$D$67</c:f>
              <c:strCache>
                <c:ptCount val="1"/>
                <c:pt idx="0">
                  <c:v>Di</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Transición!$A$68:$A$71</c:f>
              <c:numCache>
                <c:formatCode>0.00</c:formatCode>
                <c:ptCount val="4"/>
                <c:pt idx="0" formatCode="General">
                  <c:v>0</c:v>
                </c:pt>
                <c:pt idx="1">
                  <c:v>20</c:v>
                </c:pt>
                <c:pt idx="2">
                  <c:v>23.6</c:v>
                </c:pt>
                <c:pt idx="3">
                  <c:v>43.6</c:v>
                </c:pt>
              </c:numCache>
            </c:numRef>
          </c:xVal>
          <c:yVal>
            <c:numRef>
              <c:f>Transición!$D$68:$D$71</c:f>
              <c:numCache>
                <c:formatCode>0.00</c:formatCode>
                <c:ptCount val="4"/>
                <c:pt idx="0">
                  <c:v>0.75</c:v>
                </c:pt>
                <c:pt idx="1">
                  <c:v>0.75</c:v>
                </c:pt>
                <c:pt idx="2">
                  <c:v>1</c:v>
                </c:pt>
                <c:pt idx="3">
                  <c:v>1</c:v>
                </c:pt>
              </c:numCache>
            </c:numRef>
          </c:yVal>
          <c:smooth val="0"/>
          <c:extLst>
            <c:ext xmlns:c16="http://schemas.microsoft.com/office/drawing/2014/chart" uri="{C3380CC4-5D6E-409C-BE32-E72D297353CC}">
              <c16:uniqueId val="{00000002-02FC-406B-B135-3C96D597B57B}"/>
            </c:ext>
          </c:extLst>
        </c:ser>
        <c:ser>
          <c:idx val="3"/>
          <c:order val="3"/>
          <c:tx>
            <c:strRef>
              <c:f>Transición!$E$67</c:f>
              <c:strCache>
                <c:ptCount val="1"/>
                <c:pt idx="0">
                  <c:v>Ds</c:v>
                </c:pt>
              </c:strCache>
            </c:strRef>
          </c:tx>
          <c:spPr>
            <a:ln w="9525" cap="rnd">
              <a:solidFill>
                <a:schemeClr val="accent1">
                  <a:lumMod val="60000"/>
                  <a:lumOff val="40000"/>
                </a:schemeClr>
              </a:solidFill>
              <a:round/>
            </a:ln>
            <a:effectLst>
              <a:outerShdw blurRad="57150" dist="19050" dir="5400000" algn="ctr" rotWithShape="0">
                <a:srgbClr val="000000">
                  <a:alpha val="63000"/>
                </a:srgbClr>
              </a:outerShdw>
            </a:effectLst>
          </c:spPr>
          <c:marker>
            <c:symbol val="none"/>
          </c:marker>
          <c:xVal>
            <c:numRef>
              <c:f>Transición!$A$68:$A$71</c:f>
              <c:numCache>
                <c:formatCode>0.00</c:formatCode>
                <c:ptCount val="4"/>
                <c:pt idx="0" formatCode="General">
                  <c:v>0</c:v>
                </c:pt>
                <c:pt idx="1">
                  <c:v>20</c:v>
                </c:pt>
                <c:pt idx="2">
                  <c:v>23.6</c:v>
                </c:pt>
                <c:pt idx="3">
                  <c:v>43.6</c:v>
                </c:pt>
              </c:numCache>
            </c:numRef>
          </c:xVal>
          <c:yVal>
            <c:numRef>
              <c:f>Transición!$E$68:$E$71</c:f>
              <c:numCache>
                <c:formatCode>0.00</c:formatCode>
                <c:ptCount val="4"/>
                <c:pt idx="0">
                  <c:v>1.75</c:v>
                </c:pt>
                <c:pt idx="1">
                  <c:v>1.75</c:v>
                </c:pt>
                <c:pt idx="2">
                  <c:v>2.6500000000000004</c:v>
                </c:pt>
                <c:pt idx="3">
                  <c:v>2.6500000000000004</c:v>
                </c:pt>
              </c:numCache>
            </c:numRef>
          </c:yVal>
          <c:smooth val="0"/>
          <c:extLst>
            <c:ext xmlns:c16="http://schemas.microsoft.com/office/drawing/2014/chart" uri="{C3380CC4-5D6E-409C-BE32-E72D297353CC}">
              <c16:uniqueId val="{00000003-02FC-406B-B135-3C96D597B57B}"/>
            </c:ext>
          </c:extLst>
        </c:ser>
        <c:dLbls>
          <c:showLegendKey val="0"/>
          <c:showVal val="0"/>
          <c:showCatName val="0"/>
          <c:showSerName val="0"/>
          <c:showPercent val="0"/>
          <c:showBubbleSize val="0"/>
        </c:dLbls>
        <c:axId val="467280720"/>
        <c:axId val="467281112"/>
      </c:scatterChart>
      <c:valAx>
        <c:axId val="467280720"/>
        <c:scaling>
          <c:orientation val="minMax"/>
          <c:min val="0"/>
        </c:scaling>
        <c:delete val="0"/>
        <c:axPos val="b"/>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7281112"/>
        <c:crossesAt val="-6"/>
        <c:crossBetween val="midCat"/>
      </c:valAx>
      <c:valAx>
        <c:axId val="467281112"/>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7280720"/>
        <c:crosses val="autoZero"/>
        <c:crossBetween val="midCat"/>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4866537909176443E-2"/>
          <c:y val="5.0925925925925923E-2"/>
          <c:w val="0.86140939929678606"/>
          <c:h val="0.74350320793234181"/>
        </c:manualLayout>
      </c:layout>
      <c:scatterChart>
        <c:scatterStyle val="lineMarker"/>
        <c:varyColors val="0"/>
        <c:ser>
          <c:idx val="0"/>
          <c:order val="0"/>
          <c:tx>
            <c:v>Rasante del Canal</c:v>
          </c:tx>
          <c:spPr>
            <a:ln w="22225" cap="rnd">
              <a:solidFill>
                <a:schemeClr val="accent1"/>
              </a:solidFill>
            </a:ln>
            <a:effectLst>
              <a:glow rad="139700">
                <a:schemeClr val="accent1">
                  <a:satMod val="175000"/>
                  <a:alpha val="14000"/>
                </a:schemeClr>
              </a:glow>
            </a:effectLst>
          </c:spPr>
          <c:marker>
            <c:symbol val="none"/>
          </c:marker>
          <c:xVal>
            <c:numRef>
              <c:f>'Memoría de cálculo Rápida'!$H$225:$H$236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Rápida'!$I$225:$I$236</c:f>
              <c:numCache>
                <c:formatCode>0.00</c:formatCode>
                <c:ptCount val="12"/>
                <c:pt idx="0">
                  <c:v>1090.0174999999999</c:v>
                </c:pt>
                <c:pt idx="1">
                  <c:v>1090</c:v>
                </c:pt>
                <c:pt idx="2">
                  <c:v>1090.0705291535774</c:v>
                </c:pt>
                <c:pt idx="3">
                  <c:v>1081.43</c:v>
                </c:pt>
                <c:pt idx="4">
                  <c:v>1081.2792011968477</c:v>
                </c:pt>
                <c:pt idx="5">
                  <c:v>1080.1714389948099</c:v>
                </c:pt>
                <c:pt idx="6">
                  <c:v>1078.8108220043819</c:v>
                </c:pt>
                <c:pt idx="7">
                  <c:v>1077.7734471274489</c:v>
                </c:pt>
                <c:pt idx="8">
                  <c:v>1077.7734471274489</c:v>
                </c:pt>
                <c:pt idx="9">
                  <c:v>1078.71</c:v>
                </c:pt>
                <c:pt idx="10">
                  <c:v>1078.71</c:v>
                </c:pt>
                <c:pt idx="11">
                  <c:v>1078.7025000000001</c:v>
                </c:pt>
              </c:numCache>
            </c:numRef>
          </c:yVal>
          <c:smooth val="0"/>
          <c:extLst>
            <c:ext xmlns:c16="http://schemas.microsoft.com/office/drawing/2014/chart" uri="{C3380CC4-5D6E-409C-BE32-E72D297353CC}">
              <c16:uniqueId val="{00000000-74D4-4D10-88D8-22CD2709C543}"/>
            </c:ext>
          </c:extLst>
        </c:ser>
        <c:ser>
          <c:idx val="1"/>
          <c:order val="1"/>
          <c:tx>
            <c:v>Perfil corona del canal</c:v>
          </c:tx>
          <c:spPr>
            <a:ln w="22225" cap="rnd">
              <a:solidFill>
                <a:schemeClr val="accent2"/>
              </a:solidFill>
            </a:ln>
            <a:effectLst>
              <a:glow rad="139700">
                <a:schemeClr val="accent2">
                  <a:satMod val="175000"/>
                  <a:alpha val="14000"/>
                </a:schemeClr>
              </a:glow>
            </a:effectLst>
          </c:spPr>
          <c:marker>
            <c:symbol val="none"/>
          </c:marker>
          <c:xVal>
            <c:numRef>
              <c:f>'Memoría de cálculo Rápida'!$H$225:$H$236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Rápida'!$J$225:$J$236</c:f>
              <c:numCache>
                <c:formatCode>0.00</c:formatCode>
                <c:ptCount val="12"/>
                <c:pt idx="0">
                  <c:v>1091.5174999999999</c:v>
                </c:pt>
                <c:pt idx="1">
                  <c:v>1091.5</c:v>
                </c:pt>
                <c:pt idx="2">
                  <c:v>1091.0705291535774</c:v>
                </c:pt>
                <c:pt idx="3">
                  <c:v>1082.43</c:v>
                </c:pt>
                <c:pt idx="4">
                  <c:v>1082.2792011968477</c:v>
                </c:pt>
                <c:pt idx="5">
                  <c:v>1081.1714389948099</c:v>
                </c:pt>
                <c:pt idx="6">
                  <c:v>1080.21</c:v>
                </c:pt>
                <c:pt idx="7">
                  <c:v>1080.21</c:v>
                </c:pt>
                <c:pt idx="8">
                  <c:v>1080.21</c:v>
                </c:pt>
                <c:pt idx="9">
                  <c:v>1080.21</c:v>
                </c:pt>
                <c:pt idx="10">
                  <c:v>1080.21</c:v>
                </c:pt>
                <c:pt idx="11">
                  <c:v>1080.2025000000001</c:v>
                </c:pt>
              </c:numCache>
            </c:numRef>
          </c:yVal>
          <c:smooth val="0"/>
          <c:extLst>
            <c:ext xmlns:c16="http://schemas.microsoft.com/office/drawing/2014/chart" uri="{C3380CC4-5D6E-409C-BE32-E72D297353CC}">
              <c16:uniqueId val="{00000001-74D4-4D10-88D8-22CD2709C543}"/>
            </c:ext>
          </c:extLst>
        </c:ser>
        <c:dLbls>
          <c:showLegendKey val="0"/>
          <c:showVal val="0"/>
          <c:showCatName val="0"/>
          <c:showSerName val="0"/>
          <c:showPercent val="0"/>
          <c:showBubbleSize val="0"/>
        </c:dLbls>
        <c:axId val="470405688"/>
        <c:axId val="470406080"/>
      </c:scatterChart>
      <c:valAx>
        <c:axId val="470405688"/>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Longitud de la estructura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6080"/>
        <c:crosses val="autoZero"/>
        <c:crossBetween val="midCat"/>
      </c:valAx>
      <c:valAx>
        <c:axId val="470406080"/>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Cota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5688"/>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Canal aguas arriba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5.6534776902887128E-2"/>
          <c:y val="0.16708333333333336"/>
          <c:w val="0.74967334412262987"/>
          <c:h val="0.67326875807190778"/>
        </c:manualLayout>
      </c:layout>
      <c:scatterChart>
        <c:scatterStyle val="lineMarker"/>
        <c:varyColors val="0"/>
        <c:ser>
          <c:idx val="0"/>
          <c:order val="0"/>
          <c:tx>
            <c:strRef>
              <c:f>'Memoría de cálculo Rápida'!$I$243:$I$244</c:f>
              <c:strCache>
                <c:ptCount val="2"/>
                <c:pt idx="0">
                  <c:v>Canal aguas arriba</c:v>
                </c:pt>
                <c:pt idx="1">
                  <c:v>y</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Rápida'!$H$245:$H$248</c:f>
              <c:numCache>
                <c:formatCode>0.00</c:formatCode>
                <c:ptCount val="4"/>
                <c:pt idx="0">
                  <c:v>-2</c:v>
                </c:pt>
                <c:pt idx="1">
                  <c:v>-0.5</c:v>
                </c:pt>
                <c:pt idx="2">
                  <c:v>0.5</c:v>
                </c:pt>
                <c:pt idx="3">
                  <c:v>2</c:v>
                </c:pt>
              </c:numCache>
            </c:numRef>
          </c:xVal>
          <c:yVal>
            <c:numRef>
              <c:f>'Memoría de cálculo Rápida'!$I$245:$I$248</c:f>
              <c:numCache>
                <c:formatCode>0.00</c:formatCode>
                <c:ptCount val="4"/>
                <c:pt idx="0">
                  <c:v>1091.5174999999999</c:v>
                </c:pt>
                <c:pt idx="1">
                  <c:v>1090.0174999999999</c:v>
                </c:pt>
                <c:pt idx="2">
                  <c:v>1090.0174999999999</c:v>
                </c:pt>
                <c:pt idx="3">
                  <c:v>1091.5174999999999</c:v>
                </c:pt>
              </c:numCache>
            </c:numRef>
          </c:yVal>
          <c:smooth val="0"/>
          <c:extLst>
            <c:ext xmlns:c16="http://schemas.microsoft.com/office/drawing/2014/chart" uri="{C3380CC4-5D6E-409C-BE32-E72D297353CC}">
              <c16:uniqueId val="{00000000-3618-4494-BB77-313CF7031EC1}"/>
            </c:ext>
          </c:extLst>
        </c:ser>
        <c:dLbls>
          <c:showLegendKey val="0"/>
          <c:showVal val="0"/>
          <c:showCatName val="0"/>
          <c:showSerName val="0"/>
          <c:showPercent val="0"/>
          <c:showBubbleSize val="0"/>
        </c:dLbls>
        <c:axId val="470406864"/>
        <c:axId val="470407256"/>
      </c:scatterChart>
      <c:valAx>
        <c:axId val="470406864"/>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Sección</a:t>
                </a:r>
                <a:r>
                  <a:rPr lang="es-CR" baseline="0"/>
                  <a:t> transversal (m)</a:t>
                </a:r>
                <a:endParaRPr lang="es-C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7256"/>
        <c:crosses val="autoZero"/>
        <c:crossBetween val="midCat"/>
      </c:valAx>
      <c:valAx>
        <c:axId val="470407256"/>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Cota</a:t>
                </a:r>
                <a:r>
                  <a:rPr lang="es-CR" baseline="0"/>
                  <a:t> (m)</a:t>
                </a:r>
                <a:endParaRPr lang="es-C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6864"/>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Canal aguas abajo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5.2767508700900127E-2"/>
          <c:y val="0.14862433862433866"/>
          <c:w val="0.76422915166900318"/>
          <c:h val="0.70225763446235889"/>
        </c:manualLayout>
      </c:layout>
      <c:scatterChart>
        <c:scatterStyle val="lineMarker"/>
        <c:varyColors val="0"/>
        <c:ser>
          <c:idx val="0"/>
          <c:order val="0"/>
          <c:tx>
            <c:strRef>
              <c:f>'Memoría de cálculo Rápida'!$L$243</c:f>
              <c:strCache>
                <c:ptCount val="1"/>
                <c:pt idx="0">
                  <c:v>Canal aguas abajo</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Rápida'!$L$245:$L$248</c:f>
              <c:numCache>
                <c:formatCode>0.00</c:formatCode>
                <c:ptCount val="4"/>
                <c:pt idx="0">
                  <c:v>2</c:v>
                </c:pt>
                <c:pt idx="1">
                  <c:v>0.5</c:v>
                </c:pt>
                <c:pt idx="2">
                  <c:v>-0.5</c:v>
                </c:pt>
                <c:pt idx="3">
                  <c:v>-2</c:v>
                </c:pt>
              </c:numCache>
            </c:numRef>
          </c:xVal>
          <c:yVal>
            <c:numRef>
              <c:f>'Memoría de cálculo Rápida'!$M$245:$M$248</c:f>
              <c:numCache>
                <c:formatCode>0.00</c:formatCode>
                <c:ptCount val="4"/>
                <c:pt idx="0">
                  <c:v>1080.2025000000001</c:v>
                </c:pt>
                <c:pt idx="1">
                  <c:v>1078.7025000000001</c:v>
                </c:pt>
                <c:pt idx="2">
                  <c:v>1078.7025000000001</c:v>
                </c:pt>
                <c:pt idx="3">
                  <c:v>1080.2025000000001</c:v>
                </c:pt>
              </c:numCache>
            </c:numRef>
          </c:yVal>
          <c:smooth val="0"/>
          <c:extLst>
            <c:ext xmlns:c16="http://schemas.microsoft.com/office/drawing/2014/chart" uri="{C3380CC4-5D6E-409C-BE32-E72D297353CC}">
              <c16:uniqueId val="{00000000-C995-4447-8005-310FC6003ACD}"/>
            </c:ext>
          </c:extLst>
        </c:ser>
        <c:dLbls>
          <c:showLegendKey val="0"/>
          <c:showVal val="0"/>
          <c:showCatName val="0"/>
          <c:showSerName val="0"/>
          <c:showPercent val="0"/>
          <c:showBubbleSize val="0"/>
        </c:dLbls>
        <c:axId val="470408040"/>
        <c:axId val="470408432"/>
      </c:scatterChart>
      <c:valAx>
        <c:axId val="470408040"/>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sz="900" b="1" i="0" u="none" strike="noStrike" kern="1200" baseline="0">
                    <a:solidFill>
                      <a:sysClr val="window" lastClr="FFFFFF">
                        <a:lumMod val="75000"/>
                      </a:sysClr>
                    </a:solidFill>
                  </a:rPr>
                  <a:t>Sección transversal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8432"/>
        <c:crosses val="autoZero"/>
        <c:crossBetween val="midCat"/>
      </c:valAx>
      <c:valAx>
        <c:axId val="470408432"/>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sz="800" b="1" i="0" u="none" strike="noStrike" kern="1200" baseline="0">
                    <a:solidFill>
                      <a:sysClr val="window" lastClr="FFFFFF">
                        <a:lumMod val="75000"/>
                      </a:sysClr>
                    </a:solidFill>
                  </a:rPr>
                  <a:t>Cota (m</a:t>
                </a:r>
                <a:endParaRPr lang="es-C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8040"/>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Rápida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6.3078684283170317E-2"/>
          <c:y val="0.14333333333333334"/>
          <c:w val="0.77110326872384993"/>
          <c:h val="0.70754863975336413"/>
        </c:manualLayout>
      </c:layout>
      <c:scatterChart>
        <c:scatterStyle val="lineMarker"/>
        <c:varyColors val="0"/>
        <c:ser>
          <c:idx val="0"/>
          <c:order val="0"/>
          <c:tx>
            <c:strRef>
              <c:f>'Memoría de cálculo Rápida'!$J$243</c:f>
              <c:strCache>
                <c:ptCount val="1"/>
                <c:pt idx="0">
                  <c:v>Rápida</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Rápida'!$J$245:$J$248</c:f>
              <c:numCache>
                <c:formatCode>0.00</c:formatCode>
                <c:ptCount val="4"/>
                <c:pt idx="0">
                  <c:v>-0.6</c:v>
                </c:pt>
                <c:pt idx="1">
                  <c:v>-0.5</c:v>
                </c:pt>
                <c:pt idx="2">
                  <c:v>0.5</c:v>
                </c:pt>
                <c:pt idx="3">
                  <c:v>0.6</c:v>
                </c:pt>
              </c:numCache>
            </c:numRef>
          </c:xVal>
          <c:yVal>
            <c:numRef>
              <c:f>'Memoría de cálculo Rápida'!$K$245:$K$248</c:f>
              <c:numCache>
                <c:formatCode>0.00</c:formatCode>
                <c:ptCount val="4"/>
                <c:pt idx="0">
                  <c:v>1091.0705291535774</c:v>
                </c:pt>
                <c:pt idx="1">
                  <c:v>1090.0705291535774</c:v>
                </c:pt>
                <c:pt idx="2">
                  <c:v>1090.0705291535774</c:v>
                </c:pt>
                <c:pt idx="3">
                  <c:v>1091.0705291535774</c:v>
                </c:pt>
              </c:numCache>
            </c:numRef>
          </c:yVal>
          <c:smooth val="0"/>
          <c:extLst>
            <c:ext xmlns:c16="http://schemas.microsoft.com/office/drawing/2014/chart" uri="{C3380CC4-5D6E-409C-BE32-E72D297353CC}">
              <c16:uniqueId val="{00000000-5265-4B52-B0E0-77AA3BCE282F}"/>
            </c:ext>
          </c:extLst>
        </c:ser>
        <c:dLbls>
          <c:showLegendKey val="0"/>
          <c:showVal val="0"/>
          <c:showCatName val="0"/>
          <c:showSerName val="0"/>
          <c:showPercent val="0"/>
          <c:showBubbleSize val="0"/>
        </c:dLbls>
        <c:axId val="470409216"/>
        <c:axId val="470409608"/>
      </c:scatterChart>
      <c:valAx>
        <c:axId val="470409216"/>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sz="900" b="1" i="0" u="none" strike="noStrike" kern="1200" baseline="0">
                    <a:solidFill>
                      <a:sysClr val="window" lastClr="FFFFFF">
                        <a:lumMod val="75000"/>
                      </a:sysClr>
                    </a:solidFill>
                  </a:rPr>
                  <a:t>Sección transversal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9608"/>
        <c:crosses val="autoZero"/>
        <c:crossBetween val="midCat"/>
      </c:valAx>
      <c:valAx>
        <c:axId val="470409608"/>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sz="800" b="1" i="0" u="none" strike="noStrike" kern="1200" baseline="0">
                    <a:solidFill>
                      <a:sysClr val="window" lastClr="FFFFFF">
                        <a:lumMod val="75000"/>
                      </a:sysClr>
                    </a:solidFill>
                  </a:rPr>
                  <a:t>Cota (m</a:t>
                </a:r>
                <a:endParaRPr lang="es-C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09216"/>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1266756424075836E-2"/>
          <c:y val="0.14015475932125895"/>
          <c:w val="0.7454357005190998"/>
          <c:h val="0.70965895631055909"/>
        </c:manualLayout>
      </c:layout>
      <c:scatterChart>
        <c:scatterStyle val="smoothMarker"/>
        <c:varyColors val="0"/>
        <c:ser>
          <c:idx val="0"/>
          <c:order val="0"/>
          <c:tx>
            <c:strRef>
              <c:f>'Memoría de cálculo Rápida'!$B$106</c:f>
              <c:strCache>
                <c:ptCount val="1"/>
                <c:pt idx="0">
                  <c:v>Rasante del canal</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Rápida'!$A$107:$A$114</c:f>
              <c:numCache>
                <c:formatCode>0.0</c:formatCode>
                <c:ptCount val="8"/>
                <c:pt idx="1">
                  <c:v>0</c:v>
                </c:pt>
                <c:pt idx="2">
                  <c:v>9.6561911355652563E-2</c:v>
                </c:pt>
                <c:pt idx="3">
                  <c:v>0.65286559307393488</c:v>
                </c:pt>
                <c:pt idx="4">
                  <c:v>2.2017847152851227</c:v>
                </c:pt>
                <c:pt idx="5">
                  <c:v>6.565181092001084</c:v>
                </c:pt>
                <c:pt idx="6">
                  <c:v>30.483067103777049</c:v>
                </c:pt>
                <c:pt idx="7">
                  <c:v>55</c:v>
                </c:pt>
              </c:numCache>
            </c:numRef>
          </c:xVal>
          <c:yVal>
            <c:numRef>
              <c:f>'Memoría de cálculo Rápida'!$B$107:$B$114</c:f>
              <c:numCache>
                <c:formatCode>0.00</c:formatCode>
                <c:ptCount val="8"/>
                <c:pt idx="1">
                  <c:v>1090.0705291535774</c:v>
                </c:pt>
                <c:pt idx="2">
                  <c:v>1090.0553592261192</c:v>
                </c:pt>
                <c:pt idx="3">
                  <c:v>1089.9679636228443</c:v>
                </c:pt>
                <c:pt idx="4">
                  <c:v>1089.7246276077169</c:v>
                </c:pt>
                <c:pt idx="5">
                  <c:v>1089.039135724051</c:v>
                </c:pt>
                <c:pt idx="6">
                  <c:v>1085.2816231535658</c:v>
                </c:pt>
                <c:pt idx="7">
                  <c:v>1081.43</c:v>
                </c:pt>
              </c:numCache>
            </c:numRef>
          </c:yVal>
          <c:smooth val="1"/>
          <c:extLst>
            <c:ext xmlns:c16="http://schemas.microsoft.com/office/drawing/2014/chart" uri="{C3380CC4-5D6E-409C-BE32-E72D297353CC}">
              <c16:uniqueId val="{00000000-5DF2-47A3-AFA9-D3391330F8E7}"/>
            </c:ext>
          </c:extLst>
        </c:ser>
        <c:ser>
          <c:idx val="1"/>
          <c:order val="1"/>
          <c:tx>
            <c:strRef>
              <c:f>'Memoría de cálculo Rápida'!$C$106</c:f>
              <c:strCache>
                <c:ptCount val="1"/>
                <c:pt idx="0">
                  <c:v>Superficie de agua</c:v>
                </c:pt>
              </c:strCache>
            </c:strRef>
          </c:tx>
          <c:spPr>
            <a:ln w="22225" cap="rnd">
              <a:solidFill>
                <a:schemeClr val="accent2"/>
              </a:solidFill>
            </a:ln>
            <a:effectLst>
              <a:glow rad="139700">
                <a:schemeClr val="accent2">
                  <a:satMod val="175000"/>
                  <a:alpha val="14000"/>
                </a:schemeClr>
              </a:glow>
            </a:effectLst>
          </c:spPr>
          <c:marker>
            <c:symbol val="none"/>
          </c:marker>
          <c:xVal>
            <c:numRef>
              <c:f>'Memoría de cálculo Rápida'!$A$107:$A$114</c:f>
              <c:numCache>
                <c:formatCode>0.0</c:formatCode>
                <c:ptCount val="8"/>
                <c:pt idx="1">
                  <c:v>0</c:v>
                </c:pt>
                <c:pt idx="2">
                  <c:v>9.6561911355652563E-2</c:v>
                </c:pt>
                <c:pt idx="3">
                  <c:v>0.65286559307393488</c:v>
                </c:pt>
                <c:pt idx="4">
                  <c:v>2.2017847152851227</c:v>
                </c:pt>
                <c:pt idx="5">
                  <c:v>6.565181092001084</c:v>
                </c:pt>
                <c:pt idx="6">
                  <c:v>30.483067103777049</c:v>
                </c:pt>
                <c:pt idx="7">
                  <c:v>55</c:v>
                </c:pt>
              </c:numCache>
            </c:numRef>
          </c:xVal>
          <c:yVal>
            <c:numRef>
              <c:f>'Memoría de cálculo Rápida'!$C$107:$C$114</c:f>
              <c:numCache>
                <c:formatCode>0.00</c:formatCode>
                <c:ptCount val="8"/>
                <c:pt idx="1">
                  <c:v>1090.8127201535779</c:v>
                </c:pt>
                <c:pt idx="2">
                  <c:v>1090.7009512821196</c:v>
                </c:pt>
                <c:pt idx="3">
                  <c:v>1090.5169567348446</c:v>
                </c:pt>
                <c:pt idx="4">
                  <c:v>1090.1770217757171</c:v>
                </c:pt>
                <c:pt idx="5">
                  <c:v>1089.3949309480511</c:v>
                </c:pt>
                <c:pt idx="6">
                  <c:v>1085.540819433566</c:v>
                </c:pt>
                <c:pt idx="7">
                  <c:v>1081.6841140000001</c:v>
                </c:pt>
              </c:numCache>
            </c:numRef>
          </c:yVal>
          <c:smooth val="1"/>
          <c:extLst>
            <c:ext xmlns:c16="http://schemas.microsoft.com/office/drawing/2014/chart" uri="{C3380CC4-5D6E-409C-BE32-E72D297353CC}">
              <c16:uniqueId val="{00000001-5DF2-47A3-AFA9-D3391330F8E7}"/>
            </c:ext>
          </c:extLst>
        </c:ser>
        <c:ser>
          <c:idx val="2"/>
          <c:order val="2"/>
          <c:tx>
            <c:strRef>
              <c:f>'Memoría de cálculo Rápida'!$D$106</c:f>
              <c:strCache>
                <c:ptCount val="1"/>
                <c:pt idx="0">
                  <c:v>Borde del canal</c:v>
                </c:pt>
              </c:strCache>
            </c:strRef>
          </c:tx>
          <c:spPr>
            <a:ln w="22225" cap="rnd">
              <a:solidFill>
                <a:schemeClr val="accent3"/>
              </a:solidFill>
            </a:ln>
            <a:effectLst>
              <a:glow rad="139700">
                <a:schemeClr val="accent3">
                  <a:satMod val="175000"/>
                  <a:alpha val="14000"/>
                </a:schemeClr>
              </a:glow>
            </a:effectLst>
          </c:spPr>
          <c:marker>
            <c:symbol val="none"/>
          </c:marker>
          <c:xVal>
            <c:numRef>
              <c:f>'Memoría de cálculo Rápida'!$A$107:$A$114</c:f>
              <c:numCache>
                <c:formatCode>0.0</c:formatCode>
                <c:ptCount val="8"/>
                <c:pt idx="1">
                  <c:v>0</c:v>
                </c:pt>
                <c:pt idx="2">
                  <c:v>9.6561911355652563E-2</c:v>
                </c:pt>
                <c:pt idx="3">
                  <c:v>0.65286559307393488</c:v>
                </c:pt>
                <c:pt idx="4">
                  <c:v>2.2017847152851227</c:v>
                </c:pt>
                <c:pt idx="5">
                  <c:v>6.565181092001084</c:v>
                </c:pt>
                <c:pt idx="6">
                  <c:v>30.483067103777049</c:v>
                </c:pt>
                <c:pt idx="7">
                  <c:v>55</c:v>
                </c:pt>
              </c:numCache>
            </c:numRef>
          </c:xVal>
          <c:yVal>
            <c:numRef>
              <c:f>'Memoría de cálculo Rápida'!$D$107:$D$114</c:f>
              <c:numCache>
                <c:formatCode>0.00</c:formatCode>
                <c:ptCount val="8"/>
                <c:pt idx="1">
                  <c:v>1091.4705291535774</c:v>
                </c:pt>
                <c:pt idx="2">
                  <c:v>1091.3553592261192</c:v>
                </c:pt>
                <c:pt idx="3">
                  <c:v>1091.2679636228443</c:v>
                </c:pt>
                <c:pt idx="4">
                  <c:v>1090.924627607717</c:v>
                </c:pt>
                <c:pt idx="5">
                  <c:v>1090.1391357240509</c:v>
                </c:pt>
                <c:pt idx="6">
                  <c:v>1086.2816231535658</c:v>
                </c:pt>
                <c:pt idx="7">
                  <c:v>1082.43</c:v>
                </c:pt>
              </c:numCache>
            </c:numRef>
          </c:yVal>
          <c:smooth val="1"/>
          <c:extLst>
            <c:ext xmlns:c16="http://schemas.microsoft.com/office/drawing/2014/chart" uri="{C3380CC4-5D6E-409C-BE32-E72D297353CC}">
              <c16:uniqueId val="{00000002-5DF2-47A3-AFA9-D3391330F8E7}"/>
            </c:ext>
          </c:extLst>
        </c:ser>
        <c:dLbls>
          <c:showLegendKey val="0"/>
          <c:showVal val="0"/>
          <c:showCatName val="0"/>
          <c:showSerName val="0"/>
          <c:showPercent val="0"/>
          <c:showBubbleSize val="0"/>
        </c:dLbls>
        <c:axId val="467282288"/>
        <c:axId val="467282680"/>
      </c:scatterChart>
      <c:valAx>
        <c:axId val="467282288"/>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Longitud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7282680"/>
        <c:crosses val="autoZero"/>
        <c:crossBetween val="midCat"/>
      </c:valAx>
      <c:valAx>
        <c:axId val="467282680"/>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Cota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7282288"/>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scatterChart>
        <c:scatterStyle val="smoothMarker"/>
        <c:varyColors val="0"/>
        <c:ser>
          <c:idx val="0"/>
          <c:order val="0"/>
          <c:tx>
            <c:v>Curva I</c:v>
          </c:tx>
          <c:spPr>
            <a:ln w="22225" cap="rnd">
              <a:solidFill>
                <a:schemeClr val="accent1">
                  <a:lumMod val="60000"/>
                  <a:lumOff val="40000"/>
                </a:schemeClr>
              </a:solidFill>
            </a:ln>
            <a:effectLst>
              <a:glow rad="139700">
                <a:schemeClr val="accent1">
                  <a:satMod val="175000"/>
                  <a:alpha val="14000"/>
                </a:schemeClr>
              </a:glow>
            </a:effectLst>
          </c:spPr>
          <c:marker>
            <c:symbol val="none"/>
          </c:marker>
          <c:xVal>
            <c:numRef>
              <c:f>'Memoría de cálculo Rápida'!$F$136:$F$148</c:f>
              <c:numCache>
                <c:formatCode>0.0000</c:formatCode>
                <c:ptCount val="13"/>
                <c:pt idx="0">
                  <c:v>1081.43</c:v>
                </c:pt>
                <c:pt idx="1">
                  <c:v>1080.7326398913713</c:v>
                </c:pt>
                <c:pt idx="2">
                  <c:v>1079.861005000349</c:v>
                </c:pt>
                <c:pt idx="3">
                  <c:v>1078.7748210774691</c:v>
                </c:pt>
                <c:pt idx="4">
                  <c:v>1077.4242546869932</c:v>
                </c:pt>
                <c:pt idx="5">
                  <c:v>1075.7476764073833</c:v>
                </c:pt>
                <c:pt idx="6">
                  <c:v>1073.6688981648811</c:v>
                </c:pt>
                <c:pt idx="7">
                  <c:v>1071.0937613964627</c:v>
                </c:pt>
                <c:pt idx="8">
                  <c:v>1067.9059238027003</c:v>
                </c:pt>
                <c:pt idx="9">
                  <c:v>1063.9616567282983</c:v>
                </c:pt>
                <c:pt idx="10">
                  <c:v>1059.0834211061735</c:v>
                </c:pt>
                <c:pt idx="11">
                  <c:v>1053.0519354542514</c:v>
                </c:pt>
                <c:pt idx="12">
                  <c:v>1045.5963821960324</c:v>
                </c:pt>
              </c:numCache>
            </c:numRef>
          </c:xVal>
          <c:yVal>
            <c:numRef>
              <c:f>'Memoría de cálculo Rápida'!$A$136:$A$148</c:f>
              <c:numCache>
                <c:formatCode>0.0000</c:formatCode>
                <c:ptCount val="13"/>
                <c:pt idx="0">
                  <c:v>0.25411400000008993</c:v>
                </c:pt>
                <c:pt idx="1">
                  <c:v>0.22870260000008094</c:v>
                </c:pt>
                <c:pt idx="2">
                  <c:v>0.20583234000007286</c:v>
                </c:pt>
                <c:pt idx="3">
                  <c:v>0.18524910600006558</c:v>
                </c:pt>
                <c:pt idx="4">
                  <c:v>0.16672419540005903</c:v>
                </c:pt>
                <c:pt idx="5">
                  <c:v>0.15005177586005314</c:v>
                </c:pt>
                <c:pt idx="6">
                  <c:v>0.13504659827404783</c:v>
                </c:pt>
                <c:pt idx="7">
                  <c:v>0.12154193844664304</c:v>
                </c:pt>
                <c:pt idx="8">
                  <c:v>0.10938774460197874</c:v>
                </c:pt>
                <c:pt idx="9">
                  <c:v>9.8448970141780862E-2</c:v>
                </c:pt>
                <c:pt idx="10">
                  <c:v>8.8604073127602781E-2</c:v>
                </c:pt>
                <c:pt idx="11">
                  <c:v>7.9743665814842504E-2</c:v>
                </c:pt>
                <c:pt idx="12">
                  <c:v>7.1769299233358258E-2</c:v>
                </c:pt>
              </c:numCache>
            </c:numRef>
          </c:yVal>
          <c:smooth val="1"/>
          <c:extLst>
            <c:ext xmlns:c16="http://schemas.microsoft.com/office/drawing/2014/chart" uri="{C3380CC4-5D6E-409C-BE32-E72D297353CC}">
              <c16:uniqueId val="{00000000-9BBA-41FD-AE2B-6D2A2C7C5592}"/>
            </c:ext>
          </c:extLst>
        </c:ser>
        <c:dLbls>
          <c:showLegendKey val="0"/>
          <c:showVal val="0"/>
          <c:showCatName val="0"/>
          <c:showSerName val="0"/>
          <c:showPercent val="0"/>
          <c:showBubbleSize val="0"/>
        </c:dLbls>
        <c:axId val="469443704"/>
        <c:axId val="469444096"/>
      </c:scatterChart>
      <c:valAx>
        <c:axId val="469443704"/>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Elevación del fondo de la trayectoria (m) </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 sourceLinked="0"/>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4096"/>
        <c:crosses val="autoZero"/>
        <c:crossBetween val="midCat"/>
      </c:valAx>
      <c:valAx>
        <c:axId val="469444096"/>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Tirante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3704"/>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s-CR"/>
              <a:t>Curva II</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scatterChart>
        <c:scatterStyle val="smoothMarker"/>
        <c:varyColors val="0"/>
        <c:ser>
          <c:idx val="0"/>
          <c:order val="0"/>
          <c:tx>
            <c:v>Curva II</c:v>
          </c:tx>
          <c:spPr>
            <a:ln w="22225" cap="rnd">
              <a:solidFill>
                <a:schemeClr val="accent2"/>
              </a:solidFill>
            </a:ln>
            <a:effectLst>
              <a:glow rad="139700">
                <a:schemeClr val="accent1">
                  <a:satMod val="175000"/>
                  <a:alpha val="14000"/>
                </a:schemeClr>
              </a:glow>
            </a:effectLst>
          </c:spPr>
          <c:marker>
            <c:symbol val="none"/>
          </c:marker>
          <c:xVal>
            <c:numRef>
              <c:f>'Memoría de cálculo Rápida'!$F$155:$F$167</c:f>
              <c:numCache>
                <c:formatCode>0.0000</c:formatCode>
                <c:ptCount val="13"/>
                <c:pt idx="0">
                  <c:v>1076.7293092937805</c:v>
                </c:pt>
                <c:pt idx="1">
                  <c:v>1076.8760388480619</c:v>
                </c:pt>
                <c:pt idx="2">
                  <c:v>1077.0166698772994</c:v>
                </c:pt>
                <c:pt idx="3">
                  <c:v>1077.1515040398344</c:v>
                </c:pt>
                <c:pt idx="4">
                  <c:v>1077.2807837826281</c:v>
                </c:pt>
                <c:pt idx="5">
                  <c:v>1077.4047609906534</c:v>
                </c:pt>
                <c:pt idx="6">
                  <c:v>1077.523638265953</c:v>
                </c:pt>
                <c:pt idx="7">
                  <c:v>1077.6375592953168</c:v>
                </c:pt>
                <c:pt idx="8">
                  <c:v>1077.746560202216</c:v>
                </c:pt>
                <c:pt idx="9">
                  <c:v>1077.8505503616689</c:v>
                </c:pt>
                <c:pt idx="10">
                  <c:v>1077.9491762656312</c:v>
                </c:pt>
                <c:pt idx="11">
                  <c:v>1078.0417053674189</c:v>
                </c:pt>
                <c:pt idx="12">
                  <c:v>1078.1268323372435</c:v>
                </c:pt>
              </c:numCache>
            </c:numRef>
          </c:xVal>
          <c:yVal>
            <c:numRef>
              <c:f>'Memoría de cálculo Rápida'!$A$155:$A$167</c:f>
              <c:numCache>
                <c:formatCode>0.0000</c:formatCode>
                <c:ptCount val="13"/>
                <c:pt idx="0">
                  <c:v>7.1769299233358258E-2</c:v>
                </c:pt>
                <c:pt idx="1">
                  <c:v>7.9743665814842504E-2</c:v>
                </c:pt>
                <c:pt idx="2">
                  <c:v>8.8604073127602781E-2</c:v>
                </c:pt>
                <c:pt idx="3">
                  <c:v>9.8448970141780862E-2</c:v>
                </c:pt>
                <c:pt idx="4">
                  <c:v>0.10938774460197874</c:v>
                </c:pt>
                <c:pt idx="5">
                  <c:v>0.12154193844664304</c:v>
                </c:pt>
                <c:pt idx="6">
                  <c:v>0.13504659827404783</c:v>
                </c:pt>
                <c:pt idx="7">
                  <c:v>0.15005177586005314</c:v>
                </c:pt>
                <c:pt idx="8">
                  <c:v>0.16672419540005903</c:v>
                </c:pt>
                <c:pt idx="9">
                  <c:v>0.18524910600006558</c:v>
                </c:pt>
                <c:pt idx="10">
                  <c:v>0.20583234000007286</c:v>
                </c:pt>
                <c:pt idx="11">
                  <c:v>0.22870260000008094</c:v>
                </c:pt>
                <c:pt idx="12">
                  <c:v>0.25411400000008993</c:v>
                </c:pt>
              </c:numCache>
            </c:numRef>
          </c:yVal>
          <c:smooth val="1"/>
          <c:extLst>
            <c:ext xmlns:c16="http://schemas.microsoft.com/office/drawing/2014/chart" uri="{C3380CC4-5D6E-409C-BE32-E72D297353CC}">
              <c16:uniqueId val="{00000000-826B-462A-81F4-54313EBEDD02}"/>
            </c:ext>
          </c:extLst>
        </c:ser>
        <c:ser>
          <c:idx val="1"/>
          <c:order val="1"/>
          <c:tx>
            <c:v>Curva I</c:v>
          </c:tx>
          <c:spPr>
            <a:ln w="22225" cap="rnd">
              <a:solidFill>
                <a:schemeClr val="accent1">
                  <a:lumMod val="60000"/>
                  <a:lumOff val="40000"/>
                </a:schemeClr>
              </a:solidFill>
            </a:ln>
            <a:effectLst>
              <a:glow rad="139700">
                <a:schemeClr val="accent2">
                  <a:satMod val="175000"/>
                  <a:alpha val="14000"/>
                </a:schemeClr>
              </a:glow>
            </a:effectLst>
          </c:spPr>
          <c:marker>
            <c:symbol val="none"/>
          </c:marker>
          <c:xVal>
            <c:numRef>
              <c:f>'Memoría de cálculo Rápida'!$F$136:$F$148</c:f>
              <c:numCache>
                <c:formatCode>0.0000</c:formatCode>
                <c:ptCount val="13"/>
                <c:pt idx="0">
                  <c:v>1081.43</c:v>
                </c:pt>
                <c:pt idx="1">
                  <c:v>1080.7326398913713</c:v>
                </c:pt>
                <c:pt idx="2">
                  <c:v>1079.861005000349</c:v>
                </c:pt>
                <c:pt idx="3">
                  <c:v>1078.7748210774691</c:v>
                </c:pt>
                <c:pt idx="4">
                  <c:v>1077.4242546869932</c:v>
                </c:pt>
                <c:pt idx="5">
                  <c:v>1075.7476764073833</c:v>
                </c:pt>
                <c:pt idx="6">
                  <c:v>1073.6688981648811</c:v>
                </c:pt>
                <c:pt idx="7">
                  <c:v>1071.0937613964627</c:v>
                </c:pt>
                <c:pt idx="8">
                  <c:v>1067.9059238027003</c:v>
                </c:pt>
                <c:pt idx="9">
                  <c:v>1063.9616567282983</c:v>
                </c:pt>
                <c:pt idx="10">
                  <c:v>1059.0834211061735</c:v>
                </c:pt>
                <c:pt idx="11">
                  <c:v>1053.0519354542514</c:v>
                </c:pt>
                <c:pt idx="12">
                  <c:v>1045.5963821960324</c:v>
                </c:pt>
              </c:numCache>
            </c:numRef>
          </c:xVal>
          <c:yVal>
            <c:numRef>
              <c:f>'Memoría de cálculo Rápida'!$A$136:$A$148</c:f>
              <c:numCache>
                <c:formatCode>0.0000</c:formatCode>
                <c:ptCount val="13"/>
                <c:pt idx="0">
                  <c:v>0.25411400000008993</c:v>
                </c:pt>
                <c:pt idx="1">
                  <c:v>0.22870260000008094</c:v>
                </c:pt>
                <c:pt idx="2">
                  <c:v>0.20583234000007286</c:v>
                </c:pt>
                <c:pt idx="3">
                  <c:v>0.18524910600006558</c:v>
                </c:pt>
                <c:pt idx="4">
                  <c:v>0.16672419540005903</c:v>
                </c:pt>
                <c:pt idx="5">
                  <c:v>0.15005177586005314</c:v>
                </c:pt>
                <c:pt idx="6">
                  <c:v>0.13504659827404783</c:v>
                </c:pt>
                <c:pt idx="7">
                  <c:v>0.12154193844664304</c:v>
                </c:pt>
                <c:pt idx="8">
                  <c:v>0.10938774460197874</c:v>
                </c:pt>
                <c:pt idx="9">
                  <c:v>9.8448970141780862E-2</c:v>
                </c:pt>
                <c:pt idx="10">
                  <c:v>8.8604073127602781E-2</c:v>
                </c:pt>
                <c:pt idx="11">
                  <c:v>7.9743665814842504E-2</c:v>
                </c:pt>
                <c:pt idx="12">
                  <c:v>7.1769299233358258E-2</c:v>
                </c:pt>
              </c:numCache>
            </c:numRef>
          </c:yVal>
          <c:smooth val="1"/>
          <c:extLst>
            <c:ext xmlns:c16="http://schemas.microsoft.com/office/drawing/2014/chart" uri="{C3380CC4-5D6E-409C-BE32-E72D297353CC}">
              <c16:uniqueId val="{00000001-826B-462A-81F4-54313EBEDD02}"/>
            </c:ext>
          </c:extLst>
        </c:ser>
        <c:dLbls>
          <c:showLegendKey val="0"/>
          <c:showVal val="0"/>
          <c:showCatName val="0"/>
          <c:showSerName val="0"/>
          <c:showPercent val="0"/>
          <c:showBubbleSize val="0"/>
        </c:dLbls>
        <c:axId val="469444880"/>
        <c:axId val="469445272"/>
      </c:scatterChart>
      <c:valAx>
        <c:axId val="469444880"/>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Elevación del fondo de la trayectoria (m) </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 sourceLinked="0"/>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5272"/>
        <c:crosses val="autoZero"/>
        <c:crossBetween val="midCat"/>
      </c:valAx>
      <c:valAx>
        <c:axId val="469445272"/>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Tirante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4880"/>
        <c:crosses val="max"/>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s-CR"/>
              <a:t>Perfil longitudinal</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9.4866537909176443E-2"/>
          <c:y val="0.13559949717128544"/>
          <c:w val="0.86140939929678606"/>
          <c:h val="0.65882956555259642"/>
        </c:manualLayout>
      </c:layout>
      <c:scatterChart>
        <c:scatterStyle val="lineMarker"/>
        <c:varyColors val="0"/>
        <c:ser>
          <c:idx val="0"/>
          <c:order val="0"/>
          <c:tx>
            <c:v>Rasante del Canal</c:v>
          </c:tx>
          <c:spPr>
            <a:ln w="22225" cap="rnd">
              <a:solidFill>
                <a:schemeClr val="accent1"/>
              </a:solidFill>
            </a:ln>
            <a:effectLst>
              <a:glow rad="139700">
                <a:schemeClr val="accent1">
                  <a:satMod val="175000"/>
                  <a:alpha val="14000"/>
                </a:schemeClr>
              </a:glow>
            </a:effectLst>
          </c:spPr>
          <c:marker>
            <c:symbol val="none"/>
          </c:marker>
          <c:xVal>
            <c:numRef>
              <c:f>'Memoría de cálculo Rápida'!$H$225:$H$236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Rápida'!$I$225:$I$236</c:f>
              <c:numCache>
                <c:formatCode>0.00</c:formatCode>
                <c:ptCount val="12"/>
                <c:pt idx="0">
                  <c:v>1090.0174999999999</c:v>
                </c:pt>
                <c:pt idx="1">
                  <c:v>1090</c:v>
                </c:pt>
                <c:pt idx="2">
                  <c:v>1090.0705291535774</c:v>
                </c:pt>
                <c:pt idx="3">
                  <c:v>1081.43</c:v>
                </c:pt>
                <c:pt idx="4">
                  <c:v>1081.2792011968477</c:v>
                </c:pt>
                <c:pt idx="5">
                  <c:v>1080.1714389948099</c:v>
                </c:pt>
                <c:pt idx="6">
                  <c:v>1078.8108220043819</c:v>
                </c:pt>
                <c:pt idx="7">
                  <c:v>1077.7734471274489</c:v>
                </c:pt>
                <c:pt idx="8">
                  <c:v>1077.7734471274489</c:v>
                </c:pt>
                <c:pt idx="9">
                  <c:v>1078.71</c:v>
                </c:pt>
                <c:pt idx="10">
                  <c:v>1078.71</c:v>
                </c:pt>
                <c:pt idx="11">
                  <c:v>1078.7025000000001</c:v>
                </c:pt>
              </c:numCache>
            </c:numRef>
          </c:yVal>
          <c:smooth val="0"/>
          <c:extLst>
            <c:ext xmlns:c16="http://schemas.microsoft.com/office/drawing/2014/chart" uri="{C3380CC4-5D6E-409C-BE32-E72D297353CC}">
              <c16:uniqueId val="{00000000-74D4-4D10-88D8-22CD2709C543}"/>
            </c:ext>
          </c:extLst>
        </c:ser>
        <c:ser>
          <c:idx val="1"/>
          <c:order val="1"/>
          <c:tx>
            <c:v>Perfil corona del canal</c:v>
          </c:tx>
          <c:spPr>
            <a:ln w="22225" cap="rnd">
              <a:solidFill>
                <a:schemeClr val="accent2"/>
              </a:solidFill>
            </a:ln>
            <a:effectLst>
              <a:glow rad="139700">
                <a:schemeClr val="accent2">
                  <a:satMod val="175000"/>
                  <a:alpha val="14000"/>
                </a:schemeClr>
              </a:glow>
            </a:effectLst>
          </c:spPr>
          <c:marker>
            <c:symbol val="none"/>
          </c:marker>
          <c:xVal>
            <c:numRef>
              <c:f>'Memoría de cálculo Rápida'!$H$225:$H$236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Rápida'!$J$225:$J$236</c:f>
              <c:numCache>
                <c:formatCode>0.00</c:formatCode>
                <c:ptCount val="12"/>
                <c:pt idx="0">
                  <c:v>1091.5174999999999</c:v>
                </c:pt>
                <c:pt idx="1">
                  <c:v>1091.5</c:v>
                </c:pt>
                <c:pt idx="2">
                  <c:v>1091.0705291535774</c:v>
                </c:pt>
                <c:pt idx="3">
                  <c:v>1082.43</c:v>
                </c:pt>
                <c:pt idx="4">
                  <c:v>1082.2792011968477</c:v>
                </c:pt>
                <c:pt idx="5">
                  <c:v>1081.1714389948099</c:v>
                </c:pt>
                <c:pt idx="6">
                  <c:v>1080.21</c:v>
                </c:pt>
                <c:pt idx="7">
                  <c:v>1080.21</c:v>
                </c:pt>
                <c:pt idx="8">
                  <c:v>1080.21</c:v>
                </c:pt>
                <c:pt idx="9">
                  <c:v>1080.21</c:v>
                </c:pt>
                <c:pt idx="10">
                  <c:v>1080.21</c:v>
                </c:pt>
                <c:pt idx="11">
                  <c:v>1080.2025000000001</c:v>
                </c:pt>
              </c:numCache>
            </c:numRef>
          </c:yVal>
          <c:smooth val="0"/>
          <c:extLst>
            <c:ext xmlns:c16="http://schemas.microsoft.com/office/drawing/2014/chart" uri="{C3380CC4-5D6E-409C-BE32-E72D297353CC}">
              <c16:uniqueId val="{00000001-74D4-4D10-88D8-22CD2709C543}"/>
            </c:ext>
          </c:extLst>
        </c:ser>
        <c:dLbls>
          <c:showLegendKey val="0"/>
          <c:showVal val="0"/>
          <c:showCatName val="0"/>
          <c:showSerName val="0"/>
          <c:showPercent val="0"/>
          <c:showBubbleSize val="0"/>
        </c:dLbls>
        <c:axId val="469446056"/>
        <c:axId val="469446448"/>
      </c:scatterChart>
      <c:valAx>
        <c:axId val="469446056"/>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Longitud de la estructura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6448"/>
        <c:crosses val="autoZero"/>
        <c:crossBetween val="midCat"/>
      </c:valAx>
      <c:valAx>
        <c:axId val="469446448"/>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US"/>
                  <a:t>Cota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6056"/>
        <c:crosses val="autoZero"/>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Canal aguas arriba de la Rápida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5.6534776902887128E-2"/>
          <c:y val="0.16708333333333336"/>
          <c:w val="0.79538986174543924"/>
          <c:h val="0.66851115409374617"/>
        </c:manualLayout>
      </c:layout>
      <c:scatterChart>
        <c:scatterStyle val="lineMarker"/>
        <c:varyColors val="0"/>
        <c:ser>
          <c:idx val="0"/>
          <c:order val="0"/>
          <c:tx>
            <c:strRef>
              <c:f>'Memoría de cálculo Rápida'!$I$243:$I$244</c:f>
              <c:strCache>
                <c:ptCount val="2"/>
                <c:pt idx="0">
                  <c:v>Canal aguas arriba</c:v>
                </c:pt>
                <c:pt idx="1">
                  <c:v>y</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Rápida'!$H$245:$H$248</c:f>
              <c:numCache>
                <c:formatCode>0.00</c:formatCode>
                <c:ptCount val="4"/>
                <c:pt idx="0">
                  <c:v>-2</c:v>
                </c:pt>
                <c:pt idx="1">
                  <c:v>-0.5</c:v>
                </c:pt>
                <c:pt idx="2">
                  <c:v>0.5</c:v>
                </c:pt>
                <c:pt idx="3">
                  <c:v>2</c:v>
                </c:pt>
              </c:numCache>
            </c:numRef>
          </c:xVal>
          <c:yVal>
            <c:numRef>
              <c:f>'Memoría de cálculo Rápida'!$I$245:$I$248</c:f>
              <c:numCache>
                <c:formatCode>0.00</c:formatCode>
                <c:ptCount val="4"/>
                <c:pt idx="0">
                  <c:v>1091.5174999999999</c:v>
                </c:pt>
                <c:pt idx="1">
                  <c:v>1090.0174999999999</c:v>
                </c:pt>
                <c:pt idx="2">
                  <c:v>1090.0174999999999</c:v>
                </c:pt>
                <c:pt idx="3">
                  <c:v>1091.5174999999999</c:v>
                </c:pt>
              </c:numCache>
            </c:numRef>
          </c:yVal>
          <c:smooth val="0"/>
          <c:extLst>
            <c:ext xmlns:c16="http://schemas.microsoft.com/office/drawing/2014/chart" uri="{C3380CC4-5D6E-409C-BE32-E72D297353CC}">
              <c16:uniqueId val="{00000000-E183-44FB-81BF-90DE4D4FAD9D}"/>
            </c:ext>
          </c:extLst>
        </c:ser>
        <c:dLbls>
          <c:showLegendKey val="0"/>
          <c:showVal val="0"/>
          <c:showCatName val="0"/>
          <c:showSerName val="0"/>
          <c:showPercent val="0"/>
          <c:showBubbleSize val="0"/>
        </c:dLbls>
        <c:axId val="469447232"/>
        <c:axId val="469447624"/>
      </c:scatterChart>
      <c:valAx>
        <c:axId val="469447232"/>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sección  Transversal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7624"/>
        <c:crosses val="autoZero"/>
        <c:crossBetween val="midCat"/>
      </c:valAx>
      <c:valAx>
        <c:axId val="469447624"/>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Cota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7232"/>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Canal aguas abajo de la Rápida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5.347968553215781E-2"/>
          <c:y val="0.18747813045804951"/>
          <c:w val="0.79811184393880563"/>
          <c:h val="0.65033043780909094"/>
        </c:manualLayout>
      </c:layout>
      <c:scatterChart>
        <c:scatterStyle val="lineMarker"/>
        <c:varyColors val="0"/>
        <c:ser>
          <c:idx val="0"/>
          <c:order val="0"/>
          <c:tx>
            <c:strRef>
              <c:f>'Memoría de cálculo Rápida'!$L$243</c:f>
              <c:strCache>
                <c:ptCount val="1"/>
                <c:pt idx="0">
                  <c:v>Canal aguas abajo</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Rápida'!$L$245:$L$248</c:f>
              <c:numCache>
                <c:formatCode>0.00</c:formatCode>
                <c:ptCount val="4"/>
                <c:pt idx="0">
                  <c:v>2</c:v>
                </c:pt>
                <c:pt idx="1">
                  <c:v>0.5</c:v>
                </c:pt>
                <c:pt idx="2">
                  <c:v>-0.5</c:v>
                </c:pt>
                <c:pt idx="3">
                  <c:v>-2</c:v>
                </c:pt>
              </c:numCache>
            </c:numRef>
          </c:xVal>
          <c:yVal>
            <c:numRef>
              <c:f>'Memoría de cálculo Rápida'!$M$245:$M$248</c:f>
              <c:numCache>
                <c:formatCode>0.00</c:formatCode>
                <c:ptCount val="4"/>
                <c:pt idx="0">
                  <c:v>1080.2025000000001</c:v>
                </c:pt>
                <c:pt idx="1">
                  <c:v>1078.7025000000001</c:v>
                </c:pt>
                <c:pt idx="2">
                  <c:v>1078.7025000000001</c:v>
                </c:pt>
                <c:pt idx="3">
                  <c:v>1080.2025000000001</c:v>
                </c:pt>
              </c:numCache>
            </c:numRef>
          </c:yVal>
          <c:smooth val="0"/>
          <c:extLst>
            <c:ext xmlns:c16="http://schemas.microsoft.com/office/drawing/2014/chart" uri="{C3380CC4-5D6E-409C-BE32-E72D297353CC}">
              <c16:uniqueId val="{00000000-8129-4A9D-B6A6-BDABCE83D213}"/>
            </c:ext>
          </c:extLst>
        </c:ser>
        <c:dLbls>
          <c:showLegendKey val="0"/>
          <c:showVal val="0"/>
          <c:showCatName val="0"/>
          <c:showSerName val="0"/>
          <c:showPercent val="0"/>
          <c:showBubbleSize val="0"/>
        </c:dLbls>
        <c:axId val="469448408"/>
        <c:axId val="469448800"/>
      </c:scatterChart>
      <c:valAx>
        <c:axId val="469448408"/>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sección  Transversal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8800"/>
        <c:crosses val="autoZero"/>
        <c:crossBetween val="midCat"/>
      </c:valAx>
      <c:valAx>
        <c:axId val="469448800"/>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Cota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8408"/>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US"/>
              <a:t>Canal de la Rápida </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manualLayout>
          <c:layoutTarget val="inner"/>
          <c:xMode val="edge"/>
          <c:yMode val="edge"/>
          <c:x val="5.3097655997230868E-2"/>
          <c:y val="0.18822214540500129"/>
          <c:w val="0.80216292056931504"/>
          <c:h val="0.64418125798113857"/>
        </c:manualLayout>
      </c:layout>
      <c:scatterChart>
        <c:scatterStyle val="lineMarker"/>
        <c:varyColors val="0"/>
        <c:ser>
          <c:idx val="0"/>
          <c:order val="0"/>
          <c:tx>
            <c:strRef>
              <c:f>'Memoría de cálculo Rápida'!$J$243</c:f>
              <c:strCache>
                <c:ptCount val="1"/>
                <c:pt idx="0">
                  <c:v>Rápida</c:v>
                </c:pt>
              </c:strCache>
            </c:strRef>
          </c:tx>
          <c:spPr>
            <a:ln w="22225" cap="rnd">
              <a:solidFill>
                <a:schemeClr val="accent1"/>
              </a:solidFill>
            </a:ln>
            <a:effectLst>
              <a:glow rad="139700">
                <a:schemeClr val="accent1">
                  <a:satMod val="175000"/>
                  <a:alpha val="14000"/>
                </a:schemeClr>
              </a:glow>
            </a:effectLst>
          </c:spPr>
          <c:marker>
            <c:symbol val="none"/>
          </c:marker>
          <c:xVal>
            <c:numRef>
              <c:f>'Memoría de cálculo Rápida'!$J$245:$J$248</c:f>
              <c:numCache>
                <c:formatCode>0.00</c:formatCode>
                <c:ptCount val="4"/>
                <c:pt idx="0">
                  <c:v>-0.6</c:v>
                </c:pt>
                <c:pt idx="1">
                  <c:v>-0.5</c:v>
                </c:pt>
                <c:pt idx="2">
                  <c:v>0.5</c:v>
                </c:pt>
                <c:pt idx="3">
                  <c:v>0.6</c:v>
                </c:pt>
              </c:numCache>
            </c:numRef>
          </c:xVal>
          <c:yVal>
            <c:numRef>
              <c:f>'Memoría de cálculo Rápida'!$K$245:$K$248</c:f>
              <c:numCache>
                <c:formatCode>0.00</c:formatCode>
                <c:ptCount val="4"/>
                <c:pt idx="0">
                  <c:v>1091.0705291535774</c:v>
                </c:pt>
                <c:pt idx="1">
                  <c:v>1090.0705291535774</c:v>
                </c:pt>
                <c:pt idx="2">
                  <c:v>1090.0705291535774</c:v>
                </c:pt>
                <c:pt idx="3">
                  <c:v>1091.0705291535774</c:v>
                </c:pt>
              </c:numCache>
            </c:numRef>
          </c:yVal>
          <c:smooth val="0"/>
          <c:extLst>
            <c:ext xmlns:c16="http://schemas.microsoft.com/office/drawing/2014/chart" uri="{C3380CC4-5D6E-409C-BE32-E72D297353CC}">
              <c16:uniqueId val="{00000000-F97A-43FF-A8BB-F8ECD05659FE}"/>
            </c:ext>
          </c:extLst>
        </c:ser>
        <c:dLbls>
          <c:showLegendKey val="0"/>
          <c:showVal val="0"/>
          <c:showCatName val="0"/>
          <c:showSerName val="0"/>
          <c:showPercent val="0"/>
          <c:showBubbleSize val="0"/>
        </c:dLbls>
        <c:axId val="469449584"/>
        <c:axId val="469449976"/>
      </c:scatterChart>
      <c:valAx>
        <c:axId val="469449584"/>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sección  Transversal (m)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9976"/>
        <c:crosses val="autoZero"/>
        <c:crossBetween val="midCat"/>
      </c:valAx>
      <c:valAx>
        <c:axId val="469449976"/>
        <c:scaling>
          <c:orientation val="minMax"/>
        </c:scaling>
        <c:delete val="0"/>
        <c:axPos val="r"/>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Cota (m)</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49584"/>
        <c:crosses val="max"/>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s-CR"/>
              <a:t>Vista de Planta</a:t>
            </a:r>
          </a:p>
        </c:rich>
      </c:tx>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scatterChart>
        <c:scatterStyle val="lineMarker"/>
        <c:varyColors val="0"/>
        <c:ser>
          <c:idx val="0"/>
          <c:order val="0"/>
          <c:tx>
            <c:strRef>
              <c:f>'Memoría de cálculo Rápida'!$V$224</c:f>
              <c:strCache>
                <c:ptCount val="1"/>
                <c:pt idx="0">
                  <c:v>Cd</c:v>
                </c:pt>
              </c:strCache>
            </c:strRef>
          </c:tx>
          <c:spPr>
            <a:ln w="22225" cap="rnd">
              <a:solidFill>
                <a:schemeClr val="accent2"/>
              </a:solidFill>
            </a:ln>
            <a:effectLst>
              <a:glow rad="139700">
                <a:schemeClr val="accent1">
                  <a:satMod val="175000"/>
                  <a:alpha val="14000"/>
                </a:schemeClr>
              </a:glow>
            </a:effectLst>
          </c:spPr>
          <c:marker>
            <c:symbol val="none"/>
          </c:marker>
          <c:xVal>
            <c:numRef>
              <c:f>'Memoría de cálculo Rápida'!$U$225:$U$236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Rápida'!$V$225:$V$236</c:f>
              <c:numCache>
                <c:formatCode>0.00</c:formatCode>
                <c:ptCount val="12"/>
                <c:pt idx="0">
                  <c:v>-2</c:v>
                </c:pt>
                <c:pt idx="1">
                  <c:v>-2</c:v>
                </c:pt>
                <c:pt idx="2">
                  <c:v>-0.6</c:v>
                </c:pt>
                <c:pt idx="3">
                  <c:v>-0.6</c:v>
                </c:pt>
                <c:pt idx="4">
                  <c:v>-0.6</c:v>
                </c:pt>
                <c:pt idx="5">
                  <c:v>-0.6</c:v>
                </c:pt>
                <c:pt idx="6">
                  <c:v>-0.6</c:v>
                </c:pt>
                <c:pt idx="7">
                  <c:v>-0.6</c:v>
                </c:pt>
                <c:pt idx="8">
                  <c:v>-0.6</c:v>
                </c:pt>
                <c:pt idx="9">
                  <c:v>-0.64</c:v>
                </c:pt>
                <c:pt idx="10">
                  <c:v>-2</c:v>
                </c:pt>
                <c:pt idx="11">
                  <c:v>-2</c:v>
                </c:pt>
              </c:numCache>
            </c:numRef>
          </c:yVal>
          <c:smooth val="0"/>
          <c:extLst>
            <c:ext xmlns:c16="http://schemas.microsoft.com/office/drawing/2014/chart" uri="{C3380CC4-5D6E-409C-BE32-E72D297353CC}">
              <c16:uniqueId val="{00000000-AFDE-4C57-BE03-90276FACE074}"/>
            </c:ext>
          </c:extLst>
        </c:ser>
        <c:ser>
          <c:idx val="1"/>
          <c:order val="1"/>
          <c:tx>
            <c:strRef>
              <c:f>'Memoría de cálculo Rápida'!$W$224</c:f>
              <c:strCache>
                <c:ptCount val="1"/>
                <c:pt idx="0">
                  <c:v>Fd</c:v>
                </c:pt>
              </c:strCache>
            </c:strRef>
          </c:tx>
          <c:spPr>
            <a:ln w="22225" cap="rnd">
              <a:solidFill>
                <a:schemeClr val="accent1">
                  <a:lumMod val="75000"/>
                </a:schemeClr>
              </a:solidFill>
            </a:ln>
            <a:effectLst>
              <a:glow rad="139700">
                <a:schemeClr val="accent2">
                  <a:satMod val="175000"/>
                  <a:alpha val="14000"/>
                </a:schemeClr>
              </a:glow>
            </a:effectLst>
          </c:spPr>
          <c:marker>
            <c:symbol val="none"/>
          </c:marker>
          <c:xVal>
            <c:numRef>
              <c:f>'Memoría de cálculo Rápida'!$U$225:$U$236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Rápida'!$W$225:$W$236</c:f>
              <c:numCache>
                <c:formatCode>0.00</c:formatCode>
                <c:ptCount val="12"/>
                <c:pt idx="0">
                  <c:v>-0.5</c:v>
                </c:pt>
                <c:pt idx="1">
                  <c:v>-0.5</c:v>
                </c:pt>
                <c:pt idx="2">
                  <c:v>-0.5</c:v>
                </c:pt>
                <c:pt idx="3">
                  <c:v>-0.5</c:v>
                </c:pt>
                <c:pt idx="4">
                  <c:v>-0.5</c:v>
                </c:pt>
                <c:pt idx="5">
                  <c:v>-0.5</c:v>
                </c:pt>
                <c:pt idx="6">
                  <c:v>-0.5</c:v>
                </c:pt>
                <c:pt idx="7">
                  <c:v>-0.5</c:v>
                </c:pt>
                <c:pt idx="8">
                  <c:v>-0.5</c:v>
                </c:pt>
                <c:pt idx="9">
                  <c:v>-0.5</c:v>
                </c:pt>
                <c:pt idx="10">
                  <c:v>-0.5</c:v>
                </c:pt>
                <c:pt idx="11">
                  <c:v>-0.5</c:v>
                </c:pt>
              </c:numCache>
            </c:numRef>
          </c:yVal>
          <c:smooth val="0"/>
          <c:extLst>
            <c:ext xmlns:c16="http://schemas.microsoft.com/office/drawing/2014/chart" uri="{C3380CC4-5D6E-409C-BE32-E72D297353CC}">
              <c16:uniqueId val="{00000001-AFDE-4C57-BE03-90276FACE074}"/>
            </c:ext>
          </c:extLst>
        </c:ser>
        <c:ser>
          <c:idx val="2"/>
          <c:order val="2"/>
          <c:tx>
            <c:strRef>
              <c:f>'Memoría de cálculo Rápida'!$X$224</c:f>
              <c:strCache>
                <c:ptCount val="1"/>
                <c:pt idx="0">
                  <c:v>Fi</c:v>
                </c:pt>
              </c:strCache>
            </c:strRef>
          </c:tx>
          <c:spPr>
            <a:ln w="22225" cap="rnd">
              <a:solidFill>
                <a:schemeClr val="accent1">
                  <a:lumMod val="75000"/>
                </a:schemeClr>
              </a:solidFill>
            </a:ln>
            <a:effectLst>
              <a:glow rad="139700">
                <a:schemeClr val="accent3">
                  <a:satMod val="175000"/>
                  <a:alpha val="14000"/>
                </a:schemeClr>
              </a:glow>
            </a:effectLst>
          </c:spPr>
          <c:marker>
            <c:symbol val="none"/>
          </c:marker>
          <c:xVal>
            <c:numRef>
              <c:f>'Memoría de cálculo Rápida'!$U$225:$U$236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Rápida'!$X$225:$X$236</c:f>
              <c:numCache>
                <c:formatCode>0.00</c:formatCode>
                <c:ptCount val="12"/>
                <c:pt idx="0">
                  <c:v>0.5</c:v>
                </c:pt>
                <c:pt idx="1">
                  <c:v>0.5</c:v>
                </c:pt>
                <c:pt idx="2">
                  <c:v>0.5</c:v>
                </c:pt>
                <c:pt idx="3">
                  <c:v>0.5</c:v>
                </c:pt>
                <c:pt idx="4">
                  <c:v>0.5</c:v>
                </c:pt>
                <c:pt idx="5">
                  <c:v>0.5</c:v>
                </c:pt>
                <c:pt idx="6">
                  <c:v>0.5</c:v>
                </c:pt>
                <c:pt idx="7">
                  <c:v>0.5</c:v>
                </c:pt>
                <c:pt idx="8">
                  <c:v>0.5</c:v>
                </c:pt>
                <c:pt idx="9">
                  <c:v>0.5</c:v>
                </c:pt>
                <c:pt idx="10">
                  <c:v>0.5</c:v>
                </c:pt>
                <c:pt idx="11">
                  <c:v>0.5</c:v>
                </c:pt>
              </c:numCache>
            </c:numRef>
          </c:yVal>
          <c:smooth val="0"/>
          <c:extLst>
            <c:ext xmlns:c16="http://schemas.microsoft.com/office/drawing/2014/chart" uri="{C3380CC4-5D6E-409C-BE32-E72D297353CC}">
              <c16:uniqueId val="{00000002-AFDE-4C57-BE03-90276FACE074}"/>
            </c:ext>
          </c:extLst>
        </c:ser>
        <c:ser>
          <c:idx val="3"/>
          <c:order val="3"/>
          <c:tx>
            <c:strRef>
              <c:f>'Memoría de cálculo Rápida'!$Y$224</c:f>
              <c:strCache>
                <c:ptCount val="1"/>
                <c:pt idx="0">
                  <c:v>Ci</c:v>
                </c:pt>
              </c:strCache>
            </c:strRef>
          </c:tx>
          <c:spPr>
            <a:ln w="22225" cap="rnd">
              <a:solidFill>
                <a:schemeClr val="accent2"/>
              </a:solidFill>
            </a:ln>
            <a:effectLst>
              <a:glow rad="139700">
                <a:schemeClr val="accent4">
                  <a:satMod val="175000"/>
                  <a:alpha val="14000"/>
                </a:schemeClr>
              </a:glow>
            </a:effectLst>
          </c:spPr>
          <c:marker>
            <c:symbol val="none"/>
          </c:marker>
          <c:xVal>
            <c:numRef>
              <c:f>'Memoría de cálculo Rápida'!$U$225:$U$236</c:f>
              <c:numCache>
                <c:formatCode>0.00</c:formatCode>
                <c:ptCount val="12"/>
                <c:pt idx="0">
                  <c:v>0</c:v>
                </c:pt>
                <c:pt idx="1">
                  <c:v>35</c:v>
                </c:pt>
                <c:pt idx="2">
                  <c:v>39.5</c:v>
                </c:pt>
                <c:pt idx="3">
                  <c:v>94.5</c:v>
                </c:pt>
                <c:pt idx="4">
                  <c:v>95.299300000000102</c:v>
                </c:pt>
                <c:pt idx="5">
                  <c:v>98.496500000000509</c:v>
                </c:pt>
                <c:pt idx="6">
                  <c:v>100.8944000000008</c:v>
                </c:pt>
                <c:pt idx="7">
                  <c:v>102.493000000001</c:v>
                </c:pt>
                <c:pt idx="8">
                  <c:v>113.493000000001</c:v>
                </c:pt>
                <c:pt idx="9">
                  <c:v>115.3661057451033</c:v>
                </c:pt>
                <c:pt idx="10">
                  <c:v>119.96610574510329</c:v>
                </c:pt>
                <c:pt idx="11">
                  <c:v>134.96610574510328</c:v>
                </c:pt>
              </c:numCache>
            </c:numRef>
          </c:xVal>
          <c:yVal>
            <c:numRef>
              <c:f>'Memoría de cálculo Rápida'!$Y$225:$Y$236</c:f>
              <c:numCache>
                <c:formatCode>0.00</c:formatCode>
                <c:ptCount val="12"/>
                <c:pt idx="0">
                  <c:v>2</c:v>
                </c:pt>
                <c:pt idx="1">
                  <c:v>2</c:v>
                </c:pt>
                <c:pt idx="2">
                  <c:v>0.6</c:v>
                </c:pt>
                <c:pt idx="3">
                  <c:v>0.6</c:v>
                </c:pt>
                <c:pt idx="4">
                  <c:v>0.6</c:v>
                </c:pt>
                <c:pt idx="5">
                  <c:v>0.6</c:v>
                </c:pt>
                <c:pt idx="6">
                  <c:v>0.6</c:v>
                </c:pt>
                <c:pt idx="7">
                  <c:v>0.6</c:v>
                </c:pt>
                <c:pt idx="8">
                  <c:v>0.6</c:v>
                </c:pt>
                <c:pt idx="9">
                  <c:v>0.64</c:v>
                </c:pt>
                <c:pt idx="10">
                  <c:v>2</c:v>
                </c:pt>
                <c:pt idx="11">
                  <c:v>2</c:v>
                </c:pt>
              </c:numCache>
            </c:numRef>
          </c:yVal>
          <c:smooth val="0"/>
          <c:extLst>
            <c:ext xmlns:c16="http://schemas.microsoft.com/office/drawing/2014/chart" uri="{C3380CC4-5D6E-409C-BE32-E72D297353CC}">
              <c16:uniqueId val="{00000003-AFDE-4C57-BE03-90276FACE074}"/>
            </c:ext>
          </c:extLst>
        </c:ser>
        <c:dLbls>
          <c:showLegendKey val="0"/>
          <c:showVal val="0"/>
          <c:showCatName val="0"/>
          <c:showSerName val="0"/>
          <c:showPercent val="0"/>
          <c:showBubbleSize val="0"/>
        </c:dLbls>
        <c:axId val="469450760"/>
        <c:axId val="469451152"/>
      </c:scatterChart>
      <c:valAx>
        <c:axId val="469450760"/>
        <c:scaling>
          <c:orientation val="minMax"/>
        </c:scaling>
        <c:delete val="0"/>
        <c:axPos val="t"/>
        <c:majorGridlines>
          <c:spPr>
            <a:ln w="9525" cap="flat" cmpd="sng" algn="ctr">
              <a:solidFill>
                <a:schemeClr val="dk1">
                  <a:lumMod val="65000"/>
                  <a:lumOff val="35000"/>
                  <a:alpha val="75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51152"/>
        <c:crosses val="max"/>
        <c:crossBetween val="midCat"/>
      </c:valAx>
      <c:valAx>
        <c:axId val="469451152"/>
        <c:scaling>
          <c:orientation val="minMax"/>
        </c:scaling>
        <c:delete val="0"/>
        <c:axPos val="l"/>
        <c:majorGridlines>
          <c:spPr>
            <a:ln w="9525" cap="flat" cmpd="sng" algn="ctr">
              <a:solidFill>
                <a:schemeClr val="dk1">
                  <a:lumMod val="65000"/>
                  <a:lumOff val="35000"/>
                  <a:alpha val="75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69450760"/>
        <c:crossesAt val="0"/>
        <c:crossBetween val="midCat"/>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CR"/>
              <a:t>Perfil longitudinal de la Caídas vertical sin obstáculos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lotArea>
      <c:layout>
        <c:manualLayout>
          <c:layoutTarget val="inner"/>
          <c:xMode val="edge"/>
          <c:yMode val="edge"/>
          <c:x val="6.1140961175124992E-2"/>
          <c:y val="0.17984771775077041"/>
          <c:w val="0.89288843900862613"/>
          <c:h val="0.68487193942852131"/>
        </c:manualLayout>
      </c:layout>
      <c:scatterChart>
        <c:scatterStyle val="lineMarker"/>
        <c:varyColors val="0"/>
        <c:ser>
          <c:idx val="0"/>
          <c:order val="0"/>
          <c:tx>
            <c:strRef>
              <c:f>Caída!$C$31</c:f>
              <c:strCache>
                <c:ptCount val="1"/>
                <c:pt idx="0">
                  <c:v>Fondo</c:v>
                </c:pt>
              </c:strCache>
            </c:strRef>
          </c:tx>
          <c:spPr>
            <a:ln w="9525" cap="rnd">
              <a:solidFill>
                <a:schemeClr val="accent1"/>
              </a:solidFill>
              <a:round/>
            </a:ln>
            <a:effectLst>
              <a:outerShdw blurRad="57150" dist="19050" dir="5400000" algn="ctr" rotWithShape="0">
                <a:srgbClr val="000000">
                  <a:alpha val="63000"/>
                </a:srgbClr>
              </a:outerShdw>
            </a:effectLst>
          </c:spPr>
          <c:marker>
            <c:symbol val="none"/>
          </c:marker>
          <c:xVal>
            <c:numRef>
              <c:f>Caída!$B$32:$B$40</c:f>
              <c:numCache>
                <c:formatCode>0.00</c:formatCode>
                <c:ptCount val="9"/>
                <c:pt idx="0">
                  <c:v>0</c:v>
                </c:pt>
                <c:pt idx="1">
                  <c:v>20</c:v>
                </c:pt>
                <c:pt idx="2">
                  <c:v>28.562858380830527</c:v>
                </c:pt>
                <c:pt idx="3">
                  <c:v>28.762858380830526</c:v>
                </c:pt>
                <c:pt idx="4">
                  <c:v>28.862858380830527</c:v>
                </c:pt>
                <c:pt idx="5">
                  <c:v>35.845097972362751</c:v>
                </c:pt>
                <c:pt idx="6">
                  <c:v>36.099113844986014</c:v>
                </c:pt>
                <c:pt idx="7">
                  <c:v>44.661972225816541</c:v>
                </c:pt>
                <c:pt idx="8">
                  <c:v>64.661972225816541</c:v>
                </c:pt>
              </c:numCache>
            </c:numRef>
          </c:xVal>
          <c:yVal>
            <c:numRef>
              <c:f>Caída!$C$32:$C$40</c:f>
              <c:numCache>
                <c:formatCode>0.00</c:formatCode>
                <c:ptCount val="9"/>
                <c:pt idx="0">
                  <c:v>100.02</c:v>
                </c:pt>
                <c:pt idx="1">
                  <c:v>100</c:v>
                </c:pt>
                <c:pt idx="2">
                  <c:v>99.991437141619173</c:v>
                </c:pt>
                <c:pt idx="3">
                  <c:v>100.01861707566599</c:v>
                </c:pt>
                <c:pt idx="4">
                  <c:v>98.764601203042716</c:v>
                </c:pt>
                <c:pt idx="5">
                  <c:v>98.764601203042716</c:v>
                </c:pt>
                <c:pt idx="6">
                  <c:v>99.018617075665986</c:v>
                </c:pt>
                <c:pt idx="7">
                  <c:v>99.010054217285159</c:v>
                </c:pt>
                <c:pt idx="8">
                  <c:v>98.990054217285163</c:v>
                </c:pt>
              </c:numCache>
            </c:numRef>
          </c:yVal>
          <c:smooth val="0"/>
          <c:extLst>
            <c:ext xmlns:c16="http://schemas.microsoft.com/office/drawing/2014/chart" uri="{C3380CC4-5D6E-409C-BE32-E72D297353CC}">
              <c16:uniqueId val="{00000000-4ED1-46C9-B82B-C5C6D18EDEC6}"/>
            </c:ext>
          </c:extLst>
        </c:ser>
        <c:ser>
          <c:idx val="1"/>
          <c:order val="1"/>
          <c:tx>
            <c:strRef>
              <c:f>Caída!$D$31</c:f>
              <c:strCache>
                <c:ptCount val="1"/>
                <c:pt idx="0">
                  <c:v>Bordo Libre</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Caída!$B$32:$B$40</c:f>
              <c:numCache>
                <c:formatCode>0.00</c:formatCode>
                <c:ptCount val="9"/>
                <c:pt idx="0">
                  <c:v>0</c:v>
                </c:pt>
                <c:pt idx="1">
                  <c:v>20</c:v>
                </c:pt>
                <c:pt idx="2">
                  <c:v>28.562858380830527</c:v>
                </c:pt>
                <c:pt idx="3">
                  <c:v>28.762858380830526</c:v>
                </c:pt>
                <c:pt idx="4">
                  <c:v>28.862858380830527</c:v>
                </c:pt>
                <c:pt idx="5">
                  <c:v>35.845097972362751</c:v>
                </c:pt>
                <c:pt idx="6">
                  <c:v>36.099113844986014</c:v>
                </c:pt>
                <c:pt idx="7">
                  <c:v>44.661972225816541</c:v>
                </c:pt>
                <c:pt idx="8">
                  <c:v>64.661972225816541</c:v>
                </c:pt>
              </c:numCache>
            </c:numRef>
          </c:xVal>
          <c:yVal>
            <c:numRef>
              <c:f>Caída!$D$32:$D$40</c:f>
              <c:numCache>
                <c:formatCode>0.00</c:formatCode>
                <c:ptCount val="9"/>
                <c:pt idx="0">
                  <c:v>100.92943207566579</c:v>
                </c:pt>
                <c:pt idx="1">
                  <c:v>100.92943207566579</c:v>
                </c:pt>
                <c:pt idx="2">
                  <c:v>100.92943207566579</c:v>
                </c:pt>
                <c:pt idx="3">
                  <c:v>100.92943207566579</c:v>
                </c:pt>
                <c:pt idx="4">
                  <c:v>100.92943207566579</c:v>
                </c:pt>
                <c:pt idx="5">
                  <c:v>100.14866282728349</c:v>
                </c:pt>
                <c:pt idx="6">
                  <c:v>100.14866282728349</c:v>
                </c:pt>
                <c:pt idx="7">
                  <c:v>100.14866282728349</c:v>
                </c:pt>
                <c:pt idx="8">
                  <c:v>100.12866282728349</c:v>
                </c:pt>
              </c:numCache>
            </c:numRef>
          </c:yVal>
          <c:smooth val="0"/>
          <c:extLst>
            <c:ext xmlns:c16="http://schemas.microsoft.com/office/drawing/2014/chart" uri="{C3380CC4-5D6E-409C-BE32-E72D297353CC}">
              <c16:uniqueId val="{00000001-4ED1-46C9-B82B-C5C6D18EDEC6}"/>
            </c:ext>
          </c:extLst>
        </c:ser>
        <c:dLbls>
          <c:showLegendKey val="0"/>
          <c:showVal val="0"/>
          <c:showCatName val="0"/>
          <c:showSerName val="0"/>
          <c:showPercent val="0"/>
          <c:showBubbleSize val="0"/>
        </c:dLbls>
        <c:axId val="1944603728"/>
        <c:axId val="658108720"/>
      </c:scatterChart>
      <c:valAx>
        <c:axId val="1944603728"/>
        <c:scaling>
          <c:orientation val="minMax"/>
        </c:scaling>
        <c:delete val="0"/>
        <c:axPos val="b"/>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658108720"/>
        <c:crosses val="autoZero"/>
        <c:crossBetween val="midCat"/>
      </c:valAx>
      <c:valAx>
        <c:axId val="658108720"/>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194460372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CR"/>
              <a:t>Planta</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lotArea>
      <c:layout/>
      <c:scatterChart>
        <c:scatterStyle val="lineMarker"/>
        <c:varyColors val="0"/>
        <c:ser>
          <c:idx val="0"/>
          <c:order val="0"/>
          <c:tx>
            <c:strRef>
              <c:f>Caída!$C$43</c:f>
              <c:strCache>
                <c:ptCount val="1"/>
                <c:pt idx="0">
                  <c:v>is</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Caída!$B$44:$B$52</c:f>
              <c:numCache>
                <c:formatCode>0.00</c:formatCode>
                <c:ptCount val="9"/>
                <c:pt idx="0">
                  <c:v>0</c:v>
                </c:pt>
                <c:pt idx="1">
                  <c:v>20</c:v>
                </c:pt>
                <c:pt idx="2">
                  <c:v>28.562858380830527</c:v>
                </c:pt>
                <c:pt idx="3">
                  <c:v>28.762858380830526</c:v>
                </c:pt>
                <c:pt idx="4">
                  <c:v>28.862858380830527</c:v>
                </c:pt>
                <c:pt idx="5">
                  <c:v>35.845097972362751</c:v>
                </c:pt>
                <c:pt idx="6">
                  <c:v>36.099113844986014</c:v>
                </c:pt>
                <c:pt idx="7">
                  <c:v>44.661972225816541</c:v>
                </c:pt>
                <c:pt idx="8">
                  <c:v>64.661972225816541</c:v>
                </c:pt>
              </c:numCache>
            </c:numRef>
          </c:xVal>
          <c:yVal>
            <c:numRef>
              <c:f>Caída!$C$44:$C$52</c:f>
              <c:numCache>
                <c:formatCode>0.00</c:formatCode>
                <c:ptCount val="9"/>
                <c:pt idx="0">
                  <c:v>-1.6386086099983301</c:v>
                </c:pt>
                <c:pt idx="1">
                  <c:v>-1.6386086099983301</c:v>
                </c:pt>
                <c:pt idx="2">
                  <c:v>-0.45500000000000002</c:v>
                </c:pt>
                <c:pt idx="3">
                  <c:v>-0.45500000000000002</c:v>
                </c:pt>
                <c:pt idx="4">
                  <c:v>-0.45500000000000002</c:v>
                </c:pt>
                <c:pt idx="5">
                  <c:v>-0.45500000000000002</c:v>
                </c:pt>
                <c:pt idx="6">
                  <c:v>-0.45500000000000002</c:v>
                </c:pt>
                <c:pt idx="7">
                  <c:v>-1.6386086099983301</c:v>
                </c:pt>
                <c:pt idx="8">
                  <c:v>-1.6386086099983301</c:v>
                </c:pt>
              </c:numCache>
            </c:numRef>
          </c:yVal>
          <c:smooth val="0"/>
          <c:extLst>
            <c:ext xmlns:c16="http://schemas.microsoft.com/office/drawing/2014/chart" uri="{C3380CC4-5D6E-409C-BE32-E72D297353CC}">
              <c16:uniqueId val="{00000000-CF51-415D-9D6C-C8A55C99C163}"/>
            </c:ext>
          </c:extLst>
        </c:ser>
        <c:ser>
          <c:idx val="1"/>
          <c:order val="1"/>
          <c:tx>
            <c:strRef>
              <c:f>Caída!$D$43</c:f>
              <c:strCache>
                <c:ptCount val="1"/>
                <c:pt idx="0">
                  <c:v>ii</c:v>
                </c:pt>
              </c:strCache>
            </c:strRef>
          </c:tx>
          <c:spPr>
            <a:ln w="9525" cap="rnd">
              <a:solidFill>
                <a:schemeClr val="accent1"/>
              </a:solidFill>
              <a:round/>
            </a:ln>
            <a:effectLst>
              <a:outerShdw blurRad="57150" dist="19050" dir="5400000" algn="ctr" rotWithShape="0">
                <a:srgbClr val="000000">
                  <a:alpha val="63000"/>
                </a:srgbClr>
              </a:outerShdw>
            </a:effectLst>
          </c:spPr>
          <c:marker>
            <c:symbol val="none"/>
          </c:marker>
          <c:xVal>
            <c:numRef>
              <c:f>Caída!$B$44:$B$52</c:f>
              <c:numCache>
                <c:formatCode>0.00</c:formatCode>
                <c:ptCount val="9"/>
                <c:pt idx="0">
                  <c:v>0</c:v>
                </c:pt>
                <c:pt idx="1">
                  <c:v>20</c:v>
                </c:pt>
                <c:pt idx="2">
                  <c:v>28.562858380830527</c:v>
                </c:pt>
                <c:pt idx="3">
                  <c:v>28.762858380830526</c:v>
                </c:pt>
                <c:pt idx="4">
                  <c:v>28.862858380830527</c:v>
                </c:pt>
                <c:pt idx="5">
                  <c:v>35.845097972362751</c:v>
                </c:pt>
                <c:pt idx="6">
                  <c:v>36.099113844986014</c:v>
                </c:pt>
                <c:pt idx="7">
                  <c:v>44.661972225816541</c:v>
                </c:pt>
                <c:pt idx="8">
                  <c:v>64.661972225816541</c:v>
                </c:pt>
              </c:numCache>
            </c:numRef>
          </c:xVal>
          <c:yVal>
            <c:numRef>
              <c:f>Caída!$D$44:$D$52</c:f>
              <c:numCache>
                <c:formatCode>0.00</c:formatCode>
                <c:ptCount val="9"/>
                <c:pt idx="0">
                  <c:v>-0.5</c:v>
                </c:pt>
                <c:pt idx="1">
                  <c:v>-0.5</c:v>
                </c:pt>
                <c:pt idx="2">
                  <c:v>-0.40500000000000003</c:v>
                </c:pt>
                <c:pt idx="3">
                  <c:v>-0.40500000000000003</c:v>
                </c:pt>
                <c:pt idx="4">
                  <c:v>-0.40500000000000003</c:v>
                </c:pt>
                <c:pt idx="5">
                  <c:v>-0.40500000000000003</c:v>
                </c:pt>
                <c:pt idx="6">
                  <c:v>-0.40500000000000003</c:v>
                </c:pt>
                <c:pt idx="7">
                  <c:v>-0.5</c:v>
                </c:pt>
                <c:pt idx="8">
                  <c:v>-0.5</c:v>
                </c:pt>
              </c:numCache>
            </c:numRef>
          </c:yVal>
          <c:smooth val="0"/>
          <c:extLst>
            <c:ext xmlns:c16="http://schemas.microsoft.com/office/drawing/2014/chart" uri="{C3380CC4-5D6E-409C-BE32-E72D297353CC}">
              <c16:uniqueId val="{00000001-CF51-415D-9D6C-C8A55C99C163}"/>
            </c:ext>
          </c:extLst>
        </c:ser>
        <c:ser>
          <c:idx val="2"/>
          <c:order val="2"/>
          <c:tx>
            <c:strRef>
              <c:f>Caída!$E$43</c:f>
              <c:strCache>
                <c:ptCount val="1"/>
                <c:pt idx="0">
                  <c:v>di</c:v>
                </c:pt>
              </c:strCache>
            </c:strRef>
          </c:tx>
          <c:spPr>
            <a:ln w="9525" cap="rnd">
              <a:solidFill>
                <a:schemeClr val="accent1"/>
              </a:solidFill>
              <a:round/>
            </a:ln>
            <a:effectLst>
              <a:outerShdw blurRad="57150" dist="19050" dir="5400000" algn="ctr" rotWithShape="0">
                <a:srgbClr val="000000">
                  <a:alpha val="63000"/>
                </a:srgbClr>
              </a:outerShdw>
            </a:effectLst>
          </c:spPr>
          <c:marker>
            <c:symbol val="none"/>
          </c:marker>
          <c:xVal>
            <c:numRef>
              <c:f>Caída!$B$44:$B$52</c:f>
              <c:numCache>
                <c:formatCode>0.00</c:formatCode>
                <c:ptCount val="9"/>
                <c:pt idx="0">
                  <c:v>0</c:v>
                </c:pt>
                <c:pt idx="1">
                  <c:v>20</c:v>
                </c:pt>
                <c:pt idx="2">
                  <c:v>28.562858380830527</c:v>
                </c:pt>
                <c:pt idx="3">
                  <c:v>28.762858380830526</c:v>
                </c:pt>
                <c:pt idx="4">
                  <c:v>28.862858380830527</c:v>
                </c:pt>
                <c:pt idx="5">
                  <c:v>35.845097972362751</c:v>
                </c:pt>
                <c:pt idx="6">
                  <c:v>36.099113844986014</c:v>
                </c:pt>
                <c:pt idx="7">
                  <c:v>44.661972225816541</c:v>
                </c:pt>
                <c:pt idx="8">
                  <c:v>64.661972225816541</c:v>
                </c:pt>
              </c:numCache>
            </c:numRef>
          </c:xVal>
          <c:yVal>
            <c:numRef>
              <c:f>Caída!$E$44:$E$52</c:f>
              <c:numCache>
                <c:formatCode>General</c:formatCode>
                <c:ptCount val="9"/>
                <c:pt idx="0">
                  <c:v>0.5</c:v>
                </c:pt>
                <c:pt idx="1">
                  <c:v>0.5</c:v>
                </c:pt>
                <c:pt idx="2">
                  <c:v>0.40500000000000003</c:v>
                </c:pt>
                <c:pt idx="3">
                  <c:v>0.40500000000000003</c:v>
                </c:pt>
                <c:pt idx="4">
                  <c:v>0.40500000000000003</c:v>
                </c:pt>
                <c:pt idx="5">
                  <c:v>0.40500000000000003</c:v>
                </c:pt>
                <c:pt idx="6">
                  <c:v>0.40500000000000003</c:v>
                </c:pt>
                <c:pt idx="7">
                  <c:v>0.5</c:v>
                </c:pt>
                <c:pt idx="8">
                  <c:v>0.5</c:v>
                </c:pt>
              </c:numCache>
            </c:numRef>
          </c:yVal>
          <c:smooth val="0"/>
          <c:extLst>
            <c:ext xmlns:c16="http://schemas.microsoft.com/office/drawing/2014/chart" uri="{C3380CC4-5D6E-409C-BE32-E72D297353CC}">
              <c16:uniqueId val="{00000002-CF51-415D-9D6C-C8A55C99C163}"/>
            </c:ext>
          </c:extLst>
        </c:ser>
        <c:ser>
          <c:idx val="3"/>
          <c:order val="3"/>
          <c:tx>
            <c:strRef>
              <c:f>Caída!$F$43</c:f>
              <c:strCache>
                <c:ptCount val="1"/>
                <c:pt idx="0">
                  <c:v>ds</c:v>
                </c:pt>
              </c:strCache>
            </c:strRef>
          </c:tx>
          <c:spPr>
            <a:ln w="9525" cap="rnd">
              <a:solidFill>
                <a:schemeClr val="accent2"/>
              </a:solidFill>
              <a:round/>
            </a:ln>
            <a:effectLst>
              <a:outerShdw blurRad="57150" dist="19050" dir="5400000" algn="ctr" rotWithShape="0">
                <a:srgbClr val="000000">
                  <a:alpha val="63000"/>
                </a:srgbClr>
              </a:outerShdw>
            </a:effectLst>
          </c:spPr>
          <c:marker>
            <c:symbol val="none"/>
          </c:marker>
          <c:xVal>
            <c:numRef>
              <c:f>Caída!$B$44:$B$52</c:f>
              <c:numCache>
                <c:formatCode>0.00</c:formatCode>
                <c:ptCount val="9"/>
                <c:pt idx="0">
                  <c:v>0</c:v>
                </c:pt>
                <c:pt idx="1">
                  <c:v>20</c:v>
                </c:pt>
                <c:pt idx="2">
                  <c:v>28.562858380830527</c:v>
                </c:pt>
                <c:pt idx="3">
                  <c:v>28.762858380830526</c:v>
                </c:pt>
                <c:pt idx="4">
                  <c:v>28.862858380830527</c:v>
                </c:pt>
                <c:pt idx="5">
                  <c:v>35.845097972362751</c:v>
                </c:pt>
                <c:pt idx="6">
                  <c:v>36.099113844986014</c:v>
                </c:pt>
                <c:pt idx="7">
                  <c:v>44.661972225816541</c:v>
                </c:pt>
                <c:pt idx="8">
                  <c:v>64.661972225816541</c:v>
                </c:pt>
              </c:numCache>
            </c:numRef>
          </c:xVal>
          <c:yVal>
            <c:numRef>
              <c:f>Caída!$F$44:$F$52</c:f>
              <c:numCache>
                <c:formatCode>General</c:formatCode>
                <c:ptCount val="9"/>
                <c:pt idx="0">
                  <c:v>1.6386086099983301</c:v>
                </c:pt>
                <c:pt idx="1">
                  <c:v>1.6386086099983301</c:v>
                </c:pt>
                <c:pt idx="2">
                  <c:v>0.45500000000000002</c:v>
                </c:pt>
                <c:pt idx="3">
                  <c:v>0.45500000000000002</c:v>
                </c:pt>
                <c:pt idx="4">
                  <c:v>0.45500000000000002</c:v>
                </c:pt>
                <c:pt idx="5">
                  <c:v>0.45500000000000002</c:v>
                </c:pt>
                <c:pt idx="6">
                  <c:v>0.45500000000000002</c:v>
                </c:pt>
                <c:pt idx="7">
                  <c:v>1.6386086099983301</c:v>
                </c:pt>
                <c:pt idx="8">
                  <c:v>1.6386086099983301</c:v>
                </c:pt>
              </c:numCache>
            </c:numRef>
          </c:yVal>
          <c:smooth val="0"/>
          <c:extLst>
            <c:ext xmlns:c16="http://schemas.microsoft.com/office/drawing/2014/chart" uri="{C3380CC4-5D6E-409C-BE32-E72D297353CC}">
              <c16:uniqueId val="{00000003-CF51-415D-9D6C-C8A55C99C163}"/>
            </c:ext>
          </c:extLst>
        </c:ser>
        <c:dLbls>
          <c:showLegendKey val="0"/>
          <c:showVal val="0"/>
          <c:showCatName val="0"/>
          <c:showSerName val="0"/>
          <c:showPercent val="0"/>
          <c:showBubbleSize val="0"/>
        </c:dLbls>
        <c:axId val="701245072"/>
        <c:axId val="1266384208"/>
      </c:scatterChart>
      <c:valAx>
        <c:axId val="701245072"/>
        <c:scaling>
          <c:orientation val="minMax"/>
        </c:scaling>
        <c:delete val="0"/>
        <c:axPos val="b"/>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1266384208"/>
        <c:crosses val="autoZero"/>
        <c:crossBetween val="midCat"/>
      </c:valAx>
      <c:valAx>
        <c:axId val="1266384208"/>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70124507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scatterChart>
        <c:scatterStyle val="lineMarker"/>
        <c:varyColors val="0"/>
        <c:ser>
          <c:idx val="0"/>
          <c:order val="0"/>
          <c:tx>
            <c:strRef>
              <c:f>'Memoría de cálculo Desarenador'!$J$26</c:f>
              <c:strCache>
                <c:ptCount val="1"/>
                <c:pt idx="0">
                  <c:v>d(mm)</c:v>
                </c:pt>
              </c:strCache>
            </c:strRef>
          </c:tx>
          <c:spPr>
            <a:ln w="25400" cap="rnd">
              <a:no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trendline>
            <c:spPr>
              <a:ln w="25400" cap="rnd">
                <a:solidFill>
                  <a:schemeClr val="accent1">
                    <a:alpha val="50000"/>
                  </a:schemeClr>
                </a:solidFill>
              </a:ln>
              <a:effectLst/>
            </c:spPr>
            <c:trendlineType val="poly"/>
            <c:order val="2"/>
            <c:dispRSqr val="1"/>
            <c:dispEq val="1"/>
            <c:trendlineLbl>
              <c:layout>
                <c:manualLayout>
                  <c:x val="-0.18715841866916894"/>
                  <c:y val="-6.7751066729322032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trendlineLbl>
          </c:trendline>
          <c:xVal>
            <c:numRef>
              <c:f>'Memoría de cálculo Desarenador'!$J$27:$J$44</c:f>
              <c:numCache>
                <c:formatCode>General</c:formatCode>
                <c:ptCount val="18"/>
                <c:pt idx="0">
                  <c:v>0.05</c:v>
                </c:pt>
                <c:pt idx="1">
                  <c:v>0.1</c:v>
                </c:pt>
                <c:pt idx="2">
                  <c:v>0.15</c:v>
                </c:pt>
                <c:pt idx="3">
                  <c:v>0.2</c:v>
                </c:pt>
                <c:pt idx="4">
                  <c:v>0.25</c:v>
                </c:pt>
                <c:pt idx="5">
                  <c:v>0.3</c:v>
                </c:pt>
                <c:pt idx="6">
                  <c:v>0.35</c:v>
                </c:pt>
                <c:pt idx="7">
                  <c:v>0.4</c:v>
                </c:pt>
                <c:pt idx="8">
                  <c:v>0.45</c:v>
                </c:pt>
                <c:pt idx="9">
                  <c:v>0.5</c:v>
                </c:pt>
                <c:pt idx="10">
                  <c:v>0.55000000000000004</c:v>
                </c:pt>
                <c:pt idx="11">
                  <c:v>0.6</c:v>
                </c:pt>
                <c:pt idx="12">
                  <c:v>0.7</c:v>
                </c:pt>
                <c:pt idx="13">
                  <c:v>0.8</c:v>
                </c:pt>
                <c:pt idx="14">
                  <c:v>1</c:v>
                </c:pt>
                <c:pt idx="15">
                  <c:v>2</c:v>
                </c:pt>
                <c:pt idx="16">
                  <c:v>3</c:v>
                </c:pt>
                <c:pt idx="17">
                  <c:v>5</c:v>
                </c:pt>
              </c:numCache>
            </c:numRef>
          </c:xVal>
          <c:yVal>
            <c:numRef>
              <c:f>'Memoría de cálculo Desarenador'!$I$27:$I$44</c:f>
              <c:numCache>
                <c:formatCode>General</c:formatCode>
                <c:ptCount val="18"/>
                <c:pt idx="0">
                  <c:v>0.17799999999999999</c:v>
                </c:pt>
                <c:pt idx="1">
                  <c:v>0.69199999999999995</c:v>
                </c:pt>
                <c:pt idx="2">
                  <c:v>1.56</c:v>
                </c:pt>
                <c:pt idx="3">
                  <c:v>2.16</c:v>
                </c:pt>
                <c:pt idx="4">
                  <c:v>2.7</c:v>
                </c:pt>
                <c:pt idx="5">
                  <c:v>3.24</c:v>
                </c:pt>
                <c:pt idx="6">
                  <c:v>3.78</c:v>
                </c:pt>
                <c:pt idx="7">
                  <c:v>4.32</c:v>
                </c:pt>
                <c:pt idx="8">
                  <c:v>4.8600000000000003</c:v>
                </c:pt>
                <c:pt idx="9">
                  <c:v>5.4</c:v>
                </c:pt>
                <c:pt idx="10">
                  <c:v>5.94</c:v>
                </c:pt>
                <c:pt idx="11">
                  <c:v>6.48</c:v>
                </c:pt>
                <c:pt idx="12">
                  <c:v>7.32</c:v>
                </c:pt>
                <c:pt idx="13">
                  <c:v>8.07</c:v>
                </c:pt>
                <c:pt idx="14">
                  <c:v>9.44</c:v>
                </c:pt>
                <c:pt idx="15">
                  <c:v>15.29</c:v>
                </c:pt>
                <c:pt idx="16">
                  <c:v>19.25</c:v>
                </c:pt>
                <c:pt idx="17">
                  <c:v>24.9</c:v>
                </c:pt>
              </c:numCache>
            </c:numRef>
          </c:yVal>
          <c:smooth val="0"/>
          <c:extLst>
            <c:ext xmlns:c16="http://schemas.microsoft.com/office/drawing/2014/chart" uri="{C3380CC4-5D6E-409C-BE32-E72D297353CC}">
              <c16:uniqueId val="{00000001-96C3-4A7F-B0A3-2732ACFAB1B9}"/>
            </c:ext>
          </c:extLst>
        </c:ser>
        <c:dLbls>
          <c:showLegendKey val="0"/>
          <c:showVal val="0"/>
          <c:showCatName val="0"/>
          <c:showSerName val="0"/>
          <c:showPercent val="0"/>
          <c:showBubbleSize val="0"/>
        </c:dLbls>
        <c:axId val="470411176"/>
        <c:axId val="470411568"/>
      </c:scatterChart>
      <c:valAx>
        <c:axId val="470411176"/>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Diámetro partícula (mm)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11568"/>
        <c:crosses val="autoZero"/>
        <c:crossBetween val="midCat"/>
      </c:valAx>
      <c:valAx>
        <c:axId val="470411568"/>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Velocidad de caída w (cm/s)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11176"/>
        <c:crosses val="autoZero"/>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s-CR"/>
        </a:p>
      </c:txPr>
    </c:title>
    <c:autoTitleDeleted val="0"/>
    <c:plotArea>
      <c:layout/>
      <c:scatterChart>
        <c:scatterStyle val="lineMarker"/>
        <c:varyColors val="0"/>
        <c:ser>
          <c:idx val="0"/>
          <c:order val="0"/>
          <c:tx>
            <c:strRef>
              <c:f>'Memoría de cálculo Desarenador'!$Q$25:$V$25</c:f>
              <c:strCache>
                <c:ptCount val="1"/>
                <c:pt idx="0">
                  <c:v>Tabla 2: Sellerio</c:v>
                </c:pt>
              </c:strCache>
            </c:strRef>
          </c:tx>
          <c:spPr>
            <a:ln w="25400" cap="rnd">
              <a:noFill/>
            </a:ln>
            <a:effectLst>
              <a:glow rad="139700">
                <a:schemeClr val="accent1">
                  <a:satMod val="175000"/>
                  <a:alpha val="14000"/>
                </a:schemeClr>
              </a:glow>
            </a:effectLst>
          </c:spPr>
          <c:marker>
            <c:symbol val="circle"/>
            <c:size val="3"/>
            <c:spPr>
              <a:solidFill>
                <a:schemeClr val="accent1">
                  <a:lumMod val="60000"/>
                  <a:lumOff val="40000"/>
                </a:schemeClr>
              </a:solidFill>
              <a:ln>
                <a:noFill/>
              </a:ln>
              <a:effectLst>
                <a:glow rad="63500">
                  <a:schemeClr val="accent1">
                    <a:satMod val="175000"/>
                    <a:alpha val="25000"/>
                  </a:schemeClr>
                </a:glow>
              </a:effectLst>
            </c:spPr>
          </c:marker>
          <c:trendline>
            <c:spPr>
              <a:ln w="25400" cap="rnd">
                <a:solidFill>
                  <a:schemeClr val="accent1">
                    <a:alpha val="50000"/>
                  </a:schemeClr>
                </a:solidFill>
              </a:ln>
              <a:effectLst/>
            </c:spPr>
            <c:trendlineType val="linear"/>
            <c:dispRSqr val="1"/>
            <c:dispEq val="1"/>
            <c:trendlineLbl>
              <c:layout>
                <c:manualLayout>
                  <c:x val="-0.41365509363143077"/>
                  <c:y val="-4.3897957710468463E-2"/>
                </c:manualLayout>
              </c:layout>
              <c:numFmt formatCode="General" sourceLinked="0"/>
              <c:spPr>
                <a:noFill/>
                <a:ln>
                  <a:noFill/>
                </a:ln>
                <a:effectLst/>
              </c:spPr>
              <c:txPr>
                <a:bodyPr rot="0" spcFirstLastPara="1" vertOverflow="ellipsis" vert="horz" wrap="square" anchor="ctr" anchorCtr="1"/>
                <a:lstStyle/>
                <a:p>
                  <a:pPr algn="ctr" rtl="0">
                    <a:defRPr sz="900" b="0" i="0" u="none" strike="noStrike" kern="1200" baseline="0">
                      <a:solidFill>
                        <a:schemeClr val="lt1">
                          <a:lumMod val="75000"/>
                        </a:schemeClr>
                      </a:solidFill>
                      <a:latin typeface="+mn-lt"/>
                      <a:ea typeface="+mn-ea"/>
                      <a:cs typeface="+mn-cs"/>
                    </a:defRPr>
                  </a:pPr>
                  <a:endParaRPr lang="es-CR"/>
                </a:p>
              </c:txPr>
            </c:trendlineLbl>
          </c:trendline>
          <c:xVal>
            <c:numRef>
              <c:f>'Memoría de cálculo Desarenador'!$R$27:$R$44</c:f>
              <c:numCache>
                <c:formatCode>General</c:formatCode>
                <c:ptCount val="18"/>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pt idx="16">
                  <c:v>1.6</c:v>
                </c:pt>
                <c:pt idx="17">
                  <c:v>1.7</c:v>
                </c:pt>
              </c:numCache>
            </c:numRef>
          </c:xVal>
          <c:yVal>
            <c:numRef>
              <c:f>'Memoría de cálculo Desarenador'!$Q$27:$Q$44</c:f>
              <c:numCache>
                <c:formatCode>General</c:formatCode>
                <c:ptCount val="18"/>
                <c:pt idx="0">
                  <c:v>-0.06</c:v>
                </c:pt>
                <c:pt idx="1">
                  <c:v>0.95799999999999996</c:v>
                </c:pt>
                <c:pt idx="2">
                  <c:v>1.976</c:v>
                </c:pt>
                <c:pt idx="3">
                  <c:v>2.9939999999999998</c:v>
                </c:pt>
                <c:pt idx="4">
                  <c:v>4.0120000000000005</c:v>
                </c:pt>
                <c:pt idx="5">
                  <c:v>5.03</c:v>
                </c:pt>
                <c:pt idx="6">
                  <c:v>6.048</c:v>
                </c:pt>
                <c:pt idx="7">
                  <c:v>7.0659999999999998</c:v>
                </c:pt>
                <c:pt idx="8">
                  <c:v>8.0839999999999996</c:v>
                </c:pt>
                <c:pt idx="9">
                  <c:v>9.1020000000000003</c:v>
                </c:pt>
                <c:pt idx="10">
                  <c:v>10.119999999999999</c:v>
                </c:pt>
                <c:pt idx="11">
                  <c:v>11.138</c:v>
                </c:pt>
                <c:pt idx="12">
                  <c:v>12.155999999999999</c:v>
                </c:pt>
                <c:pt idx="13">
                  <c:v>13.173999999999999</c:v>
                </c:pt>
                <c:pt idx="14">
                  <c:v>14.191999999999998</c:v>
                </c:pt>
                <c:pt idx="15">
                  <c:v>15.209999999999999</c:v>
                </c:pt>
                <c:pt idx="16">
                  <c:v>16.228000000000002</c:v>
                </c:pt>
                <c:pt idx="17">
                  <c:v>17.245999999999999</c:v>
                </c:pt>
              </c:numCache>
            </c:numRef>
          </c:yVal>
          <c:smooth val="0"/>
          <c:extLst>
            <c:ext xmlns:c16="http://schemas.microsoft.com/office/drawing/2014/chart" uri="{C3380CC4-5D6E-409C-BE32-E72D297353CC}">
              <c16:uniqueId val="{00000001-452A-495F-9AAE-3D8EDCD77549}"/>
            </c:ext>
          </c:extLst>
        </c:ser>
        <c:dLbls>
          <c:showLegendKey val="0"/>
          <c:showVal val="0"/>
          <c:showCatName val="0"/>
          <c:showSerName val="0"/>
          <c:showPercent val="0"/>
          <c:showBubbleSize val="0"/>
        </c:dLbls>
        <c:axId val="470412352"/>
        <c:axId val="470637744"/>
      </c:scatterChart>
      <c:valAx>
        <c:axId val="470412352"/>
        <c:scaling>
          <c:orientation val="minMax"/>
        </c:scaling>
        <c:delete val="0"/>
        <c:axPos val="b"/>
        <c:majorGridlines>
          <c:spPr>
            <a:ln w="9525" cap="flat" cmpd="sng" algn="ctr">
              <a:solidFill>
                <a:schemeClr val="dk1">
                  <a:lumMod val="65000"/>
                  <a:lumOff val="35000"/>
                  <a:alpha val="7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Diámetro partícula (mm)</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637744"/>
        <c:crosses val="autoZero"/>
        <c:crossBetween val="midCat"/>
      </c:valAx>
      <c:valAx>
        <c:axId val="470637744"/>
        <c:scaling>
          <c:orientation val="minMax"/>
        </c:scaling>
        <c:delete val="0"/>
        <c:axPos val="l"/>
        <c:majorGridlines>
          <c:spPr>
            <a:ln w="9525" cap="flat" cmpd="sng" algn="ctr">
              <a:solidFill>
                <a:schemeClr val="dk1">
                  <a:lumMod val="65000"/>
                  <a:lumOff val="35000"/>
                  <a:alpha val="7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R"/>
                  <a:t>Velocidad de caída w (cm/s)</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R"/>
            </a:p>
          </c:txPr>
        </c:title>
        <c:numFmt formatCode="General" sourceLinked="1"/>
        <c:majorTickMark val="none"/>
        <c:minorTickMark val="none"/>
        <c:tickLblPos val="nextTo"/>
        <c:spPr>
          <a:noFill/>
          <a:ln w="9525" cap="flat" cmpd="sng" algn="ctr">
            <a:solidFill>
              <a:schemeClr val="lt1">
                <a:lumMod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470412352"/>
        <c:crosses val="autoZero"/>
        <c:crossBetween val="midCat"/>
      </c:valAx>
      <c:spPr>
        <a:noFill/>
        <a:ln>
          <a:noFill/>
        </a:ln>
        <a:effectLst/>
      </c:spPr>
    </c:plotArea>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s-CR"/>
              <a:t>Vista en Planta (m)</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s-CR"/>
        </a:p>
      </c:txPr>
    </c:title>
    <c:autoTitleDeleted val="0"/>
    <c:plotArea>
      <c:layout/>
      <c:scatterChart>
        <c:scatterStyle val="lineMarker"/>
        <c:varyColors val="0"/>
        <c:ser>
          <c:idx val="0"/>
          <c:order val="0"/>
          <c:tx>
            <c:strRef>
              <c:f>'Puente Canal'!$G$43</c:f>
              <c:strCache>
                <c:ptCount val="1"/>
                <c:pt idx="0">
                  <c:v>is</c:v>
                </c:pt>
              </c:strCache>
            </c:strRef>
          </c:tx>
          <c:spPr>
            <a:ln w="9525" cap="rnd">
              <a:solidFill>
                <a:schemeClr val="accent2">
                  <a:lumMod val="75000"/>
                </a:schemeClr>
              </a:solidFill>
              <a:round/>
            </a:ln>
            <a:effectLst>
              <a:outerShdw blurRad="57150" dist="19050" dir="5400000" algn="ctr" rotWithShape="0">
                <a:srgbClr val="000000">
                  <a:alpha val="63000"/>
                </a:srgbClr>
              </a:outerShdw>
            </a:effectLst>
          </c:spPr>
          <c:marker>
            <c:symbol val="none"/>
          </c:marker>
          <c:xVal>
            <c:numRef>
              <c:f>'Puente Canal'!$F$44:$F$49</c:f>
              <c:numCache>
                <c:formatCode>0.00</c:formatCode>
                <c:ptCount val="6"/>
                <c:pt idx="0">
                  <c:v>-50</c:v>
                </c:pt>
                <c:pt idx="1">
                  <c:v>0</c:v>
                </c:pt>
                <c:pt idx="2">
                  <c:v>8.6</c:v>
                </c:pt>
                <c:pt idx="3">
                  <c:v>18.600000000000001</c:v>
                </c:pt>
                <c:pt idx="4">
                  <c:v>26.17</c:v>
                </c:pt>
                <c:pt idx="5">
                  <c:v>76.17</c:v>
                </c:pt>
              </c:numCache>
            </c:numRef>
          </c:xVal>
          <c:yVal>
            <c:numRef>
              <c:f>'Puente Canal'!$G$44:$G$49</c:f>
              <c:numCache>
                <c:formatCode>0.00</c:formatCode>
                <c:ptCount val="6"/>
                <c:pt idx="0">
                  <c:v>-2.7000000000000028</c:v>
                </c:pt>
                <c:pt idx="1">
                  <c:v>-2.7000000000000028</c:v>
                </c:pt>
                <c:pt idx="2">
                  <c:v>-0.25</c:v>
                </c:pt>
                <c:pt idx="3">
                  <c:v>-0.25</c:v>
                </c:pt>
                <c:pt idx="4">
                  <c:v>-2.7026170000000036</c:v>
                </c:pt>
                <c:pt idx="5">
                  <c:v>-2.7026170000000036</c:v>
                </c:pt>
              </c:numCache>
            </c:numRef>
          </c:yVal>
          <c:smooth val="0"/>
          <c:extLst>
            <c:ext xmlns:c16="http://schemas.microsoft.com/office/drawing/2014/chart" uri="{C3380CC4-5D6E-409C-BE32-E72D297353CC}">
              <c16:uniqueId val="{00000000-00DA-4188-B379-E05BBF2682AB}"/>
            </c:ext>
          </c:extLst>
        </c:ser>
        <c:ser>
          <c:idx val="1"/>
          <c:order val="1"/>
          <c:tx>
            <c:strRef>
              <c:f>'Puente Canal'!$H$43</c:f>
              <c:strCache>
                <c:ptCount val="1"/>
                <c:pt idx="0">
                  <c:v>ii</c:v>
                </c:pt>
              </c:strCache>
            </c:strRef>
          </c:tx>
          <c:spPr>
            <a:ln w="9525" cap="rnd">
              <a:solidFill>
                <a:schemeClr val="accent1">
                  <a:lumMod val="60000"/>
                  <a:lumOff val="40000"/>
                </a:schemeClr>
              </a:solidFill>
              <a:round/>
            </a:ln>
            <a:effectLst>
              <a:outerShdw blurRad="57150" dist="19050" dir="5400000" algn="ctr" rotWithShape="0">
                <a:srgbClr val="000000">
                  <a:alpha val="63000"/>
                </a:srgbClr>
              </a:outerShdw>
            </a:effectLst>
          </c:spPr>
          <c:marker>
            <c:symbol val="none"/>
          </c:marker>
          <c:xVal>
            <c:numRef>
              <c:f>'Puente Canal'!$F$44:$F$49</c:f>
              <c:numCache>
                <c:formatCode>0.00</c:formatCode>
                <c:ptCount val="6"/>
                <c:pt idx="0">
                  <c:v>-50</c:v>
                </c:pt>
                <c:pt idx="1">
                  <c:v>0</c:v>
                </c:pt>
                <c:pt idx="2">
                  <c:v>8.6</c:v>
                </c:pt>
                <c:pt idx="3">
                  <c:v>18.600000000000001</c:v>
                </c:pt>
                <c:pt idx="4">
                  <c:v>26.17</c:v>
                </c:pt>
                <c:pt idx="5">
                  <c:v>76.17</c:v>
                </c:pt>
              </c:numCache>
            </c:numRef>
          </c:xVal>
          <c:yVal>
            <c:numRef>
              <c:f>'Puente Canal'!$H$44:$H$49</c:f>
              <c:numCache>
                <c:formatCode>0.00</c:formatCode>
                <c:ptCount val="6"/>
                <c:pt idx="0">
                  <c:v>-0.5</c:v>
                </c:pt>
                <c:pt idx="1">
                  <c:v>-0.5</c:v>
                </c:pt>
                <c:pt idx="2">
                  <c:v>-0.2</c:v>
                </c:pt>
                <c:pt idx="3">
                  <c:v>-0.2</c:v>
                </c:pt>
                <c:pt idx="4">
                  <c:v>-0.5</c:v>
                </c:pt>
                <c:pt idx="5">
                  <c:v>-0.5</c:v>
                </c:pt>
              </c:numCache>
            </c:numRef>
          </c:yVal>
          <c:smooth val="0"/>
          <c:extLst>
            <c:ext xmlns:c16="http://schemas.microsoft.com/office/drawing/2014/chart" uri="{C3380CC4-5D6E-409C-BE32-E72D297353CC}">
              <c16:uniqueId val="{00000001-00DA-4188-B379-E05BBF2682AB}"/>
            </c:ext>
          </c:extLst>
        </c:ser>
        <c:ser>
          <c:idx val="2"/>
          <c:order val="2"/>
          <c:tx>
            <c:strRef>
              <c:f>'Puente Canal'!$I$43</c:f>
              <c:strCache>
                <c:ptCount val="1"/>
                <c:pt idx="0">
                  <c:v>di</c:v>
                </c:pt>
              </c:strCache>
            </c:strRef>
          </c:tx>
          <c:spPr>
            <a:ln w="9525" cap="rnd">
              <a:solidFill>
                <a:schemeClr val="accent1">
                  <a:lumMod val="60000"/>
                  <a:lumOff val="40000"/>
                </a:schemeClr>
              </a:solidFill>
              <a:round/>
            </a:ln>
            <a:effectLst>
              <a:outerShdw blurRad="57150" dist="19050" dir="5400000" algn="ctr" rotWithShape="0">
                <a:srgbClr val="000000">
                  <a:alpha val="63000"/>
                </a:srgbClr>
              </a:outerShdw>
            </a:effectLst>
          </c:spPr>
          <c:marker>
            <c:symbol val="none"/>
          </c:marker>
          <c:xVal>
            <c:numRef>
              <c:f>'Puente Canal'!$F$44:$F$49</c:f>
              <c:numCache>
                <c:formatCode>0.00</c:formatCode>
                <c:ptCount val="6"/>
                <c:pt idx="0">
                  <c:v>-50</c:v>
                </c:pt>
                <c:pt idx="1">
                  <c:v>0</c:v>
                </c:pt>
                <c:pt idx="2">
                  <c:v>8.6</c:v>
                </c:pt>
                <c:pt idx="3">
                  <c:v>18.600000000000001</c:v>
                </c:pt>
                <c:pt idx="4">
                  <c:v>26.17</c:v>
                </c:pt>
                <c:pt idx="5">
                  <c:v>76.17</c:v>
                </c:pt>
              </c:numCache>
            </c:numRef>
          </c:xVal>
          <c:yVal>
            <c:numRef>
              <c:f>'Puente Canal'!$I$44:$I$49</c:f>
              <c:numCache>
                <c:formatCode>0.00</c:formatCode>
                <c:ptCount val="6"/>
                <c:pt idx="0">
                  <c:v>0.5</c:v>
                </c:pt>
                <c:pt idx="1">
                  <c:v>0.5</c:v>
                </c:pt>
                <c:pt idx="2">
                  <c:v>0.2</c:v>
                </c:pt>
                <c:pt idx="3">
                  <c:v>0.2</c:v>
                </c:pt>
                <c:pt idx="4">
                  <c:v>0.5</c:v>
                </c:pt>
                <c:pt idx="5">
                  <c:v>0.5</c:v>
                </c:pt>
              </c:numCache>
            </c:numRef>
          </c:yVal>
          <c:smooth val="0"/>
          <c:extLst>
            <c:ext xmlns:c16="http://schemas.microsoft.com/office/drawing/2014/chart" uri="{C3380CC4-5D6E-409C-BE32-E72D297353CC}">
              <c16:uniqueId val="{00000002-00DA-4188-B379-E05BBF2682AB}"/>
            </c:ext>
          </c:extLst>
        </c:ser>
        <c:ser>
          <c:idx val="3"/>
          <c:order val="3"/>
          <c:tx>
            <c:strRef>
              <c:f>'Puente Canal'!$J$43</c:f>
              <c:strCache>
                <c:ptCount val="1"/>
                <c:pt idx="0">
                  <c:v>ds</c:v>
                </c:pt>
              </c:strCache>
            </c:strRef>
          </c:tx>
          <c:spPr>
            <a:ln w="9525" cap="rnd">
              <a:solidFill>
                <a:schemeClr val="accent2">
                  <a:lumMod val="75000"/>
                </a:schemeClr>
              </a:solidFill>
              <a:round/>
            </a:ln>
            <a:effectLst>
              <a:outerShdw blurRad="57150" dist="19050" dir="5400000" algn="ctr" rotWithShape="0">
                <a:srgbClr val="000000">
                  <a:alpha val="63000"/>
                </a:srgbClr>
              </a:outerShdw>
            </a:effectLst>
          </c:spPr>
          <c:marker>
            <c:symbol val="none"/>
          </c:marker>
          <c:xVal>
            <c:numRef>
              <c:f>'Puente Canal'!$F$44:$F$49</c:f>
              <c:numCache>
                <c:formatCode>0.00</c:formatCode>
                <c:ptCount val="6"/>
                <c:pt idx="0">
                  <c:v>-50</c:v>
                </c:pt>
                <c:pt idx="1">
                  <c:v>0</c:v>
                </c:pt>
                <c:pt idx="2">
                  <c:v>8.6</c:v>
                </c:pt>
                <c:pt idx="3">
                  <c:v>18.600000000000001</c:v>
                </c:pt>
                <c:pt idx="4">
                  <c:v>26.17</c:v>
                </c:pt>
                <c:pt idx="5">
                  <c:v>76.17</c:v>
                </c:pt>
              </c:numCache>
            </c:numRef>
          </c:xVal>
          <c:yVal>
            <c:numRef>
              <c:f>'Puente Canal'!$J$44:$J$49</c:f>
              <c:numCache>
                <c:formatCode>0.00</c:formatCode>
                <c:ptCount val="6"/>
                <c:pt idx="0">
                  <c:v>2.7000000000000028</c:v>
                </c:pt>
                <c:pt idx="1">
                  <c:v>2.7000000000000028</c:v>
                </c:pt>
                <c:pt idx="2">
                  <c:v>0.25</c:v>
                </c:pt>
                <c:pt idx="3">
                  <c:v>0.25</c:v>
                </c:pt>
                <c:pt idx="4">
                  <c:v>2.7026170000000036</c:v>
                </c:pt>
                <c:pt idx="5">
                  <c:v>2.7026170000000036</c:v>
                </c:pt>
              </c:numCache>
            </c:numRef>
          </c:yVal>
          <c:smooth val="0"/>
          <c:extLst>
            <c:ext xmlns:c16="http://schemas.microsoft.com/office/drawing/2014/chart" uri="{C3380CC4-5D6E-409C-BE32-E72D297353CC}">
              <c16:uniqueId val="{00000003-00DA-4188-B379-E05BBF2682AB}"/>
            </c:ext>
          </c:extLst>
        </c:ser>
        <c:dLbls>
          <c:showLegendKey val="0"/>
          <c:showVal val="0"/>
          <c:showCatName val="0"/>
          <c:showSerName val="0"/>
          <c:showPercent val="0"/>
          <c:showBubbleSize val="0"/>
        </c:dLbls>
        <c:axId val="658876016"/>
        <c:axId val="750635632"/>
      </c:scatterChart>
      <c:valAx>
        <c:axId val="658876016"/>
        <c:scaling>
          <c:orientation val="minMax"/>
        </c:scaling>
        <c:delete val="0"/>
        <c:axPos val="t"/>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750635632"/>
        <c:crosses val="max"/>
        <c:crossBetween val="midCat"/>
      </c:valAx>
      <c:valAx>
        <c:axId val="750635632"/>
        <c:scaling>
          <c:orientation val="minMax"/>
        </c:scaling>
        <c:delete val="0"/>
        <c:axPos val="r"/>
        <c:majorGridlines>
          <c:spPr>
            <a:ln w="9525" cap="flat" cmpd="sng" algn="ctr">
              <a:solidFill>
                <a:schemeClr val="lt1">
                  <a:lumMod val="95000"/>
                  <a:alpha val="10000"/>
                </a:schemeClr>
              </a:solidFill>
              <a:round/>
            </a:ln>
            <a:effectLst/>
          </c:spPr>
        </c:majorGridlines>
        <c:numFmt formatCode="0.00"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R"/>
          </a:p>
        </c:txPr>
        <c:crossAx val="658876016"/>
        <c:crosses val="max"/>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2.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6.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17.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18.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19.xml><?xml version="1.0" encoding="utf-8"?>
<cs:chartStyle xmlns:cs="http://schemas.microsoft.com/office/drawing/2012/chartStyle" xmlns:a="http://schemas.openxmlformats.org/drawingml/2006/main" id="245">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3"/>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tx1"/>
    </cs:fontRef>
    <cs:spPr>
      <a:ln w="9525" cap="flat" cmpd="sng" algn="ctr">
        <a:solidFill>
          <a:schemeClr val="dk1">
            <a:lumMod val="65000"/>
            <a:lumOff val="35000"/>
            <a:alpha val="75000"/>
          </a:schemeClr>
        </a:solidFill>
        <a:round/>
      </a:ln>
    </cs:spPr>
  </cs:gridlineMajor>
  <cs:gridlineMinor>
    <cs:lnRef idx="0"/>
    <cs:fillRef idx="0"/>
    <cs:effectRef idx="0"/>
    <cs:fontRef idx="minor">
      <a:schemeClr val="tx1"/>
    </cs:fontRef>
    <cs:spPr>
      <a:ln w="9525" cap="flat" cmpd="sng" algn="ctr">
        <a:solidFill>
          <a:schemeClr val="dk1">
            <a:lumMod val="65000"/>
            <a:lumOff val="35000"/>
            <a:alpha val="25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spPr>
      <a:ln w="9525" cap="flat" cmpd="sng" algn="ctr">
        <a:solidFill>
          <a:schemeClr val="lt1">
            <a:lumMod val="50000"/>
          </a:schemeClr>
        </a:solidFill>
        <a:round/>
      </a:ln>
    </cs:spPr>
    <cs:defRPr sz="900" kern="1200"/>
    <cs:bodyPr/>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hyperlink" Target="https://creativecommons.org/licenses/by-nc-nd/4.0/?ref=chooser-v1" TargetMode="External"/><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3.xml"/><Relationship Id="rId1" Type="http://schemas.openxmlformats.org/officeDocument/2006/relationships/chart" Target="../charts/chart2.xml"/></Relationships>
</file>

<file path=xl/drawings/_rels/drawing5.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image" Target="../media/image5.png"/><Relationship Id="rId6" Type="http://schemas.openxmlformats.org/officeDocument/2006/relationships/image" Target="../media/image2.png"/><Relationship Id="rId5" Type="http://schemas.openxmlformats.org/officeDocument/2006/relationships/chart" Target="../charts/chart7.xml"/><Relationship Id="rId4" Type="http://schemas.openxmlformats.org/officeDocument/2006/relationships/chart" Target="../charts/chart6.xml"/></Relationships>
</file>

<file path=xl/drawings/_rels/drawing6.xml.rels><?xml version="1.0" encoding="UTF-8" standalone="yes"?>
<Relationships xmlns="http://schemas.openxmlformats.org/package/2006/relationships"><Relationship Id="rId8" Type="http://schemas.openxmlformats.org/officeDocument/2006/relationships/chart" Target="../charts/chart15.xml"/><Relationship Id="rId3" Type="http://schemas.openxmlformats.org/officeDocument/2006/relationships/chart" Target="../charts/chart10.xml"/><Relationship Id="rId7" Type="http://schemas.openxmlformats.org/officeDocument/2006/relationships/chart" Target="../charts/chart14.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 Id="rId9"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chart" Target="../charts/chart16.xml"/><Relationship Id="rId2" Type="http://schemas.openxmlformats.org/officeDocument/2006/relationships/image" Target="../media/image7.emf"/><Relationship Id="rId1" Type="http://schemas.openxmlformats.org/officeDocument/2006/relationships/image" Target="../media/image6.emf"/><Relationship Id="rId5" Type="http://schemas.openxmlformats.org/officeDocument/2006/relationships/image" Target="../media/image2.png"/><Relationship Id="rId4" Type="http://schemas.openxmlformats.org/officeDocument/2006/relationships/chart" Target="../charts/chart17.xml"/></Relationships>
</file>

<file path=xl/drawings/_rels/drawing8.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chart" Target="../charts/chart19.xml"/><Relationship Id="rId1" Type="http://schemas.openxmlformats.org/officeDocument/2006/relationships/chart" Target="../charts/chart18.xml"/><Relationship Id="rId5" Type="http://schemas.openxmlformats.org/officeDocument/2006/relationships/image" Target="../media/image2.png"/><Relationship Id="rId4" Type="http://schemas.openxmlformats.org/officeDocument/2006/relationships/image" Target="../media/image9.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20.xml"/><Relationship Id="rId1" Type="http://schemas.openxmlformats.org/officeDocument/2006/relationships/image" Target="../media/image10.emf"/></Relationships>
</file>

<file path=xl/drawings/_rels/drawing10.xml.rels><?xml version="1.0" encoding="UTF-8" standalone="yes"?>
<Relationships xmlns="http://schemas.openxmlformats.org/package/2006/relationships"><Relationship Id="rId3" Type="http://schemas.openxmlformats.org/officeDocument/2006/relationships/image" Target="../media/image13.emf"/><Relationship Id="rId2" Type="http://schemas.openxmlformats.org/officeDocument/2006/relationships/image" Target="../media/image12.emf"/><Relationship Id="rId1" Type="http://schemas.openxmlformats.org/officeDocument/2006/relationships/image" Target="../media/image11.png"/><Relationship Id="rId5" Type="http://schemas.openxmlformats.org/officeDocument/2006/relationships/image" Target="../media/image2.png"/><Relationship Id="rId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1</xdr:col>
      <xdr:colOff>358871</xdr:colOff>
      <xdr:row>4</xdr:row>
      <xdr:rowOff>76200</xdr:rowOff>
    </xdr:from>
    <xdr:to>
      <xdr:col>6</xdr:col>
      <xdr:colOff>742950</xdr:colOff>
      <xdr:row>24</xdr:row>
      <xdr:rowOff>117379</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1120871" y="942975"/>
          <a:ext cx="4194079" cy="4194079"/>
        </a:xfrm>
        <a:prstGeom prst="rect">
          <a:avLst/>
        </a:prstGeom>
      </xdr:spPr>
    </xdr:pic>
    <xdr:clientData/>
  </xdr:twoCellAnchor>
  <xdr:twoCellAnchor editAs="oneCell">
    <xdr:from>
      <xdr:col>14</xdr:col>
      <xdr:colOff>185328</xdr:colOff>
      <xdr:row>0</xdr:row>
      <xdr:rowOff>1</xdr:rowOff>
    </xdr:from>
    <xdr:to>
      <xdr:col>17</xdr:col>
      <xdr:colOff>685800</xdr:colOff>
      <xdr:row>3</xdr:row>
      <xdr:rowOff>0</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rotWithShape="1">
        <a:blip xmlns:r="http://schemas.openxmlformats.org/officeDocument/2006/relationships" r:embed="rId2"/>
        <a:srcRect b="33635"/>
        <a:stretch/>
      </xdr:blipFill>
      <xdr:spPr>
        <a:xfrm>
          <a:off x="10853328" y="1"/>
          <a:ext cx="2786472" cy="800099"/>
        </a:xfrm>
        <a:prstGeom prst="rect">
          <a:avLst/>
        </a:prstGeom>
      </xdr:spPr>
    </xdr:pic>
    <xdr:clientData/>
  </xdr:twoCellAnchor>
  <xdr:twoCellAnchor editAs="oneCell">
    <xdr:from>
      <xdr:col>1</xdr:col>
      <xdr:colOff>0</xdr:colOff>
      <xdr:row>40</xdr:row>
      <xdr:rowOff>0</xdr:rowOff>
    </xdr:from>
    <xdr:to>
      <xdr:col>1</xdr:col>
      <xdr:colOff>190500</xdr:colOff>
      <xdr:row>41</xdr:row>
      <xdr:rowOff>0</xdr:rowOff>
    </xdr:to>
    <xdr:sp macro="" textlink="">
      <xdr:nvSpPr>
        <xdr:cNvPr id="8201" name="AutoShape 9">
          <a:hlinkClick xmlns:r="http://schemas.openxmlformats.org/officeDocument/2006/relationships" r:id="rId3" tgtFrame="_blank"/>
          <a:extLst>
            <a:ext uri="{FF2B5EF4-FFF2-40B4-BE49-F238E27FC236}">
              <a16:creationId xmlns:a16="http://schemas.microsoft.com/office/drawing/2014/main" id="{00000000-0008-0000-0000-000009200000}"/>
            </a:ext>
          </a:extLst>
        </xdr:cNvPr>
        <xdr:cNvSpPr>
          <a:spLocks noChangeAspect="1" noChangeArrowheads="1"/>
        </xdr:cNvSpPr>
      </xdr:nvSpPr>
      <xdr:spPr bwMode="auto">
        <a:xfrm>
          <a:off x="762000"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200025</xdr:colOff>
      <xdr:row>40</xdr:row>
      <xdr:rowOff>0</xdr:rowOff>
    </xdr:from>
    <xdr:to>
      <xdr:col>1</xdr:col>
      <xdr:colOff>390525</xdr:colOff>
      <xdr:row>41</xdr:row>
      <xdr:rowOff>0</xdr:rowOff>
    </xdr:to>
    <xdr:sp macro="" textlink="">
      <xdr:nvSpPr>
        <xdr:cNvPr id="8202" name="AutoShape 10">
          <a:hlinkClick xmlns:r="http://schemas.openxmlformats.org/officeDocument/2006/relationships" r:id="rId3" tgtFrame="_blank"/>
          <a:extLst>
            <a:ext uri="{FF2B5EF4-FFF2-40B4-BE49-F238E27FC236}">
              <a16:creationId xmlns:a16="http://schemas.microsoft.com/office/drawing/2014/main" id="{00000000-0008-0000-0000-00000A200000}"/>
            </a:ext>
          </a:extLst>
        </xdr:cNvPr>
        <xdr:cNvSpPr>
          <a:spLocks noChangeAspect="1" noChangeArrowheads="1"/>
        </xdr:cNvSpPr>
      </xdr:nvSpPr>
      <xdr:spPr bwMode="auto">
        <a:xfrm>
          <a:off x="962025"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400050</xdr:colOff>
      <xdr:row>40</xdr:row>
      <xdr:rowOff>0</xdr:rowOff>
    </xdr:from>
    <xdr:to>
      <xdr:col>1</xdr:col>
      <xdr:colOff>590550</xdr:colOff>
      <xdr:row>41</xdr:row>
      <xdr:rowOff>0</xdr:rowOff>
    </xdr:to>
    <xdr:sp macro="" textlink="">
      <xdr:nvSpPr>
        <xdr:cNvPr id="8203" name="AutoShape 11">
          <a:hlinkClick xmlns:r="http://schemas.openxmlformats.org/officeDocument/2006/relationships" r:id="rId3" tgtFrame="_blank"/>
          <a:extLst>
            <a:ext uri="{FF2B5EF4-FFF2-40B4-BE49-F238E27FC236}">
              <a16:creationId xmlns:a16="http://schemas.microsoft.com/office/drawing/2014/main" id="{00000000-0008-0000-0000-00000B200000}"/>
            </a:ext>
          </a:extLst>
        </xdr:cNvPr>
        <xdr:cNvSpPr>
          <a:spLocks noChangeAspect="1" noChangeArrowheads="1"/>
        </xdr:cNvSpPr>
      </xdr:nvSpPr>
      <xdr:spPr bwMode="auto">
        <a:xfrm>
          <a:off x="1162050"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600075</xdr:colOff>
      <xdr:row>40</xdr:row>
      <xdr:rowOff>0</xdr:rowOff>
    </xdr:from>
    <xdr:to>
      <xdr:col>2</xdr:col>
      <xdr:colOff>28575</xdr:colOff>
      <xdr:row>41</xdr:row>
      <xdr:rowOff>0</xdr:rowOff>
    </xdr:to>
    <xdr:sp macro="" textlink="">
      <xdr:nvSpPr>
        <xdr:cNvPr id="8204" name="AutoShape 12">
          <a:hlinkClick xmlns:r="http://schemas.openxmlformats.org/officeDocument/2006/relationships" r:id="rId3" tgtFrame="_blank"/>
          <a:extLst>
            <a:ext uri="{FF2B5EF4-FFF2-40B4-BE49-F238E27FC236}">
              <a16:creationId xmlns:a16="http://schemas.microsoft.com/office/drawing/2014/main" id="{00000000-0008-0000-0000-00000C200000}"/>
            </a:ext>
          </a:extLst>
        </xdr:cNvPr>
        <xdr:cNvSpPr>
          <a:spLocks noChangeAspect="1" noChangeArrowheads="1"/>
        </xdr:cNvSpPr>
      </xdr:nvSpPr>
      <xdr:spPr bwMode="auto">
        <a:xfrm>
          <a:off x="1362075"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0</xdr:colOff>
      <xdr:row>2</xdr:row>
      <xdr:rowOff>0</xdr:rowOff>
    </xdr:from>
    <xdr:ext cx="190500" cy="190500"/>
    <xdr:sp macro="" textlink="">
      <xdr:nvSpPr>
        <xdr:cNvPr id="2" name="AutoShape 9">
          <a:hlinkClick xmlns:r="http://schemas.openxmlformats.org/officeDocument/2006/relationships" r:id="rId3" tgtFrame="_blank"/>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762000"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200025</xdr:colOff>
      <xdr:row>2</xdr:row>
      <xdr:rowOff>0</xdr:rowOff>
    </xdr:from>
    <xdr:ext cx="190500" cy="190500"/>
    <xdr:sp macro="" textlink="">
      <xdr:nvSpPr>
        <xdr:cNvPr id="3" name="AutoShape 10">
          <a:hlinkClick xmlns:r="http://schemas.openxmlformats.org/officeDocument/2006/relationships" r:id="rId3" tgtFrame="_blank"/>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962025"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400050</xdr:colOff>
      <xdr:row>2</xdr:row>
      <xdr:rowOff>0</xdr:rowOff>
    </xdr:from>
    <xdr:ext cx="190500" cy="190500"/>
    <xdr:sp macro="" textlink="">
      <xdr:nvSpPr>
        <xdr:cNvPr id="4" name="AutoShape 11">
          <a:hlinkClick xmlns:r="http://schemas.openxmlformats.org/officeDocument/2006/relationships" r:id="rId3" tgtFrame="_blank"/>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1162050"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600075</xdr:colOff>
      <xdr:row>2</xdr:row>
      <xdr:rowOff>0</xdr:rowOff>
    </xdr:from>
    <xdr:ext cx="190500" cy="190500"/>
    <xdr:sp macro="" textlink="">
      <xdr:nvSpPr>
        <xdr:cNvPr id="5" name="AutoShape 12">
          <a:hlinkClick xmlns:r="http://schemas.openxmlformats.org/officeDocument/2006/relationships" r:id="rId3" tgtFrame="_blank"/>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1362075" y="7839075"/>
          <a:ext cx="190500" cy="1905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15</xdr:col>
      <xdr:colOff>514351</xdr:colOff>
      <xdr:row>0</xdr:row>
      <xdr:rowOff>76795</xdr:rowOff>
    </xdr:from>
    <xdr:to>
      <xdr:col>18</xdr:col>
      <xdr:colOff>723900</xdr:colOff>
      <xdr:row>1</xdr:row>
      <xdr:rowOff>142875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1944351" y="76795"/>
          <a:ext cx="2495549" cy="389930"/>
        </a:xfrm>
        <a:prstGeom prst="rect">
          <a:avLst/>
        </a:prstGeom>
        <a:noFill/>
      </xdr:spPr>
    </xdr:pic>
    <xdr:clientData/>
  </xdr:twoCellAnchor>
  <xdr:twoCellAnchor editAs="oneCell">
    <xdr:from>
      <xdr:col>9</xdr:col>
      <xdr:colOff>748394</xdr:colOff>
      <xdr:row>45</xdr:row>
      <xdr:rowOff>122464</xdr:rowOff>
    </xdr:from>
    <xdr:to>
      <xdr:col>18</xdr:col>
      <xdr:colOff>755124</xdr:colOff>
      <xdr:row>67</xdr:row>
      <xdr:rowOff>117436</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7606394" y="8599714"/>
          <a:ext cx="6864730" cy="38457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460343</xdr:colOff>
      <xdr:row>18</xdr:row>
      <xdr:rowOff>171450</xdr:rowOff>
    </xdr:from>
    <xdr:ext cx="1730407" cy="685701"/>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460343" y="4086225"/>
              <a:ext cx="1730407" cy="6857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r>
                      <a:rPr lang="es-CR" sz="2000" b="0" i="1">
                        <a:latin typeface="Cambria Math" panose="02040503050406030204" pitchFamily="18" charset="0"/>
                      </a:rPr>
                      <m:t>𝑄</m:t>
                    </m:r>
                    <m:r>
                      <a:rPr lang="es-CR" sz="2000" b="0" i="1">
                        <a:latin typeface="Cambria Math" panose="02040503050406030204" pitchFamily="18" charset="0"/>
                      </a:rPr>
                      <m:t>=</m:t>
                    </m:r>
                    <m:f>
                      <m:fPr>
                        <m:ctrlPr>
                          <a:rPr lang="es-CR" sz="2000" b="0" i="1">
                            <a:latin typeface="Cambria Math" panose="02040503050406030204" pitchFamily="18" charset="0"/>
                          </a:rPr>
                        </m:ctrlPr>
                      </m:fPr>
                      <m:num>
                        <m:sSup>
                          <m:sSupPr>
                            <m:ctrlPr>
                              <a:rPr lang="es-CR" sz="2000" b="0" i="1">
                                <a:latin typeface="Cambria Math" panose="02040503050406030204" pitchFamily="18" charset="0"/>
                              </a:rPr>
                            </m:ctrlPr>
                          </m:sSupPr>
                          <m:e>
                            <m:r>
                              <a:rPr lang="es-CR" sz="2000" b="0" i="1">
                                <a:latin typeface="Cambria Math" panose="02040503050406030204" pitchFamily="18" charset="0"/>
                              </a:rPr>
                              <m:t>𝐴</m:t>
                            </m:r>
                          </m:e>
                          <m:sup>
                            <m:r>
                              <a:rPr lang="es-CR" sz="2000" b="0" i="1">
                                <a:latin typeface="Cambria Math" panose="02040503050406030204" pitchFamily="18" charset="0"/>
                              </a:rPr>
                              <m:t>5/3</m:t>
                            </m:r>
                          </m:sup>
                        </m:sSup>
                        <m:r>
                          <a:rPr lang="es-CR" sz="2000" b="0" i="1">
                            <a:latin typeface="Cambria Math" panose="02040503050406030204" pitchFamily="18" charset="0"/>
                          </a:rPr>
                          <m:t> </m:t>
                        </m:r>
                        <m:sSup>
                          <m:sSupPr>
                            <m:ctrlPr>
                              <a:rPr lang="es-CR" sz="2000" b="0" i="1">
                                <a:latin typeface="Cambria Math" panose="02040503050406030204" pitchFamily="18" charset="0"/>
                              </a:rPr>
                            </m:ctrlPr>
                          </m:sSupPr>
                          <m:e>
                            <m:r>
                              <a:rPr lang="es-CR" sz="2000" b="0" i="1">
                                <a:latin typeface="Cambria Math" panose="02040503050406030204" pitchFamily="18" charset="0"/>
                              </a:rPr>
                              <m:t>𝑆</m:t>
                            </m:r>
                          </m:e>
                          <m:sup>
                            <m:r>
                              <a:rPr lang="es-CR" sz="2000" b="0" i="1">
                                <a:latin typeface="Cambria Math" panose="02040503050406030204" pitchFamily="18" charset="0"/>
                              </a:rPr>
                              <m:t>1/2</m:t>
                            </m:r>
                          </m:sup>
                        </m:sSup>
                      </m:num>
                      <m:den>
                        <m:sSup>
                          <m:sSupPr>
                            <m:ctrlPr>
                              <a:rPr lang="es-CR" sz="2000" b="0" i="1">
                                <a:latin typeface="Cambria Math" panose="02040503050406030204" pitchFamily="18" charset="0"/>
                              </a:rPr>
                            </m:ctrlPr>
                          </m:sSupPr>
                          <m:e>
                            <m:r>
                              <a:rPr lang="es-CR" sz="2000" b="0" i="1">
                                <a:latin typeface="Cambria Math" panose="02040503050406030204" pitchFamily="18" charset="0"/>
                              </a:rPr>
                              <m:t>𝑝</m:t>
                            </m:r>
                          </m:e>
                          <m:sup>
                            <m:r>
                              <a:rPr lang="es-CR" sz="2000" b="0" i="1">
                                <a:latin typeface="Cambria Math" panose="02040503050406030204" pitchFamily="18" charset="0"/>
                              </a:rPr>
                              <m:t>2/3</m:t>
                            </m:r>
                          </m:sup>
                        </m:sSup>
                        <m:r>
                          <a:rPr lang="es-CR" sz="2000" b="0" i="1">
                            <a:latin typeface="Cambria Math" panose="02040503050406030204" pitchFamily="18" charset="0"/>
                          </a:rPr>
                          <m:t> </m:t>
                        </m:r>
                        <m:r>
                          <a:rPr lang="es-CR" sz="2000" b="0" i="1">
                            <a:latin typeface="Cambria Math" panose="02040503050406030204" pitchFamily="18" charset="0"/>
                          </a:rPr>
                          <m:t>𝑛</m:t>
                        </m:r>
                      </m:den>
                    </m:f>
                  </m:oMath>
                </m:oMathPara>
              </a14:m>
              <a:endParaRPr lang="es-CR" sz="2000"/>
            </a:p>
          </xdr:txBody>
        </xdr:sp>
      </mc:Choice>
      <mc:Fallback xmlns="">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460343" y="4086225"/>
              <a:ext cx="1730407" cy="6857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r>
                <a:rPr lang="es-CR" sz="2000" b="0" i="0">
                  <a:latin typeface="Cambria Math" panose="02040503050406030204" pitchFamily="18" charset="0"/>
                </a:rPr>
                <a:t>𝑄=(𝐴^(5/3)  𝑆^(1/2))/(𝑝^(2/3)  𝑛)</a:t>
              </a:r>
              <a:endParaRPr lang="es-CR" sz="2000"/>
            </a:p>
          </xdr:txBody>
        </xdr:sp>
      </mc:Fallback>
    </mc:AlternateContent>
    <xdr:clientData/>
  </xdr:oneCellAnchor>
  <xdr:twoCellAnchor>
    <xdr:from>
      <xdr:col>0</xdr:col>
      <xdr:colOff>542924</xdr:colOff>
      <xdr:row>23</xdr:row>
      <xdr:rowOff>85725</xdr:rowOff>
    </xdr:from>
    <xdr:to>
      <xdr:col>2</xdr:col>
      <xdr:colOff>523875</xdr:colOff>
      <xdr:row>30</xdr:row>
      <xdr:rowOff>38100</xdr:rowOff>
    </xdr:to>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4" y="4914900"/>
          <a:ext cx="2009776" cy="1219200"/>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100">
              <a:latin typeface="Arial" panose="020B0604020202020204" pitchFamily="34" charset="0"/>
              <a:cs typeface="Arial" panose="020B0604020202020204" pitchFamily="34" charset="0"/>
            </a:rPr>
            <a:t>Donde:  </a:t>
          </a:r>
        </a:p>
        <a:p>
          <a:r>
            <a:rPr lang="es-CR" sz="1100">
              <a:latin typeface="Arial" panose="020B0604020202020204" pitchFamily="34" charset="0"/>
              <a:cs typeface="Arial" panose="020B0604020202020204" pitchFamily="34" charset="0"/>
            </a:rPr>
            <a:t>Q  es caudal                                     S  es pendiente                          p es perímetro hidráulico </a:t>
          </a:r>
        </a:p>
        <a:p>
          <a:r>
            <a:rPr lang="es-CR" sz="1100">
              <a:latin typeface="Arial" panose="020B0604020202020204" pitchFamily="34" charset="0"/>
              <a:cs typeface="Arial" panose="020B0604020202020204" pitchFamily="34" charset="0"/>
            </a:rPr>
            <a:t>A es  área</a:t>
          </a:r>
          <a:r>
            <a:rPr lang="es-CR" sz="1100" baseline="0">
              <a:latin typeface="Arial" panose="020B0604020202020204" pitchFamily="34" charset="0"/>
              <a:cs typeface="Arial" panose="020B0604020202020204" pitchFamily="34" charset="0"/>
            </a:rPr>
            <a:t> hidráulica                n es coeficiente de rugosidad</a:t>
          </a:r>
          <a:r>
            <a:rPr lang="es-CR" sz="1100">
              <a:latin typeface="Arial" panose="020B0604020202020204" pitchFamily="34" charset="0"/>
              <a:cs typeface="Arial" panose="020B0604020202020204" pitchFamily="34" charset="0"/>
            </a:rPr>
            <a:t>   </a:t>
          </a:r>
        </a:p>
      </xdr:txBody>
    </xdr:sp>
    <xdr:clientData/>
  </xdr:twoCellAnchor>
  <mc:AlternateContent xmlns:mc="http://schemas.openxmlformats.org/markup-compatibility/2006">
    <mc:Choice xmlns:a14="http://schemas.microsoft.com/office/drawing/2010/main" Requires="a14">
      <xdr:twoCellAnchor>
        <xdr:from>
          <xdr:col>4</xdr:col>
          <xdr:colOff>0</xdr:colOff>
          <xdr:row>7</xdr:row>
          <xdr:rowOff>19050</xdr:rowOff>
        </xdr:from>
        <xdr:to>
          <xdr:col>6</xdr:col>
          <xdr:colOff>752475</xdr:colOff>
          <xdr:row>8</xdr:row>
          <xdr:rowOff>161925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R" sz="1400" b="1" i="1" u="none" strike="noStrike" baseline="0">
                  <a:solidFill>
                    <a:srgbClr val="000000"/>
                  </a:solidFill>
                  <a:latin typeface="Calibri"/>
                  <a:cs typeface="Calibri"/>
                </a:rPr>
                <a:t>Calcular</a:t>
              </a:r>
            </a:p>
          </xdr:txBody>
        </xdr:sp>
        <xdr:clientData fPrintsWithSheet="0"/>
      </xdr:twoCellAnchor>
    </mc:Choice>
    <mc:Fallback/>
  </mc:AlternateContent>
  <xdr:twoCellAnchor>
    <xdr:from>
      <xdr:col>7</xdr:col>
      <xdr:colOff>104774</xdr:colOff>
      <xdr:row>9</xdr:row>
      <xdr:rowOff>9524</xdr:rowOff>
    </xdr:from>
    <xdr:to>
      <xdr:col>11</xdr:col>
      <xdr:colOff>571499</xdr:colOff>
      <xdr:row>21</xdr:row>
      <xdr:rowOff>114299</xdr:rowOff>
    </xdr:to>
    <xdr:graphicFrame macro="">
      <xdr:nvGraphicFramePr>
        <xdr:cNvPr id="3" name="Gráfico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9</xdr:col>
      <xdr:colOff>762000</xdr:colOff>
      <xdr:row>0</xdr:row>
      <xdr:rowOff>85725</xdr:rowOff>
    </xdr:from>
    <xdr:to>
      <xdr:col>12</xdr:col>
      <xdr:colOff>657225</xdr:colOff>
      <xdr:row>3</xdr:row>
      <xdr:rowOff>63864</xdr:rowOff>
    </xdr:to>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2"/>
        <a:stretch>
          <a:fillRect/>
        </a:stretch>
      </xdr:blipFill>
      <xdr:spPr>
        <a:xfrm>
          <a:off x="8524875" y="85725"/>
          <a:ext cx="2305050" cy="99731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361950</xdr:colOff>
          <xdr:row>2</xdr:row>
          <xdr:rowOff>9525</xdr:rowOff>
        </xdr:from>
        <xdr:to>
          <xdr:col>6</xdr:col>
          <xdr:colOff>361950</xdr:colOff>
          <xdr:row>2</xdr:row>
          <xdr:rowOff>628650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R" sz="1400" b="1" i="1" u="none" strike="noStrike" baseline="0">
                  <a:solidFill>
                    <a:srgbClr val="000000"/>
                  </a:solidFill>
                  <a:latin typeface="Arial"/>
                  <a:cs typeface="Arial"/>
                </a:rPr>
                <a:t>Calcular</a:t>
              </a:r>
            </a:p>
          </xdr:txBody>
        </xdr:sp>
        <xdr:clientData fPrintsWithSheet="0"/>
      </xdr:twoCellAnchor>
    </mc:Choice>
    <mc:Fallback/>
  </mc:AlternateContent>
  <xdr:twoCellAnchor>
    <xdr:from>
      <xdr:col>6</xdr:col>
      <xdr:colOff>57150</xdr:colOff>
      <xdr:row>79</xdr:row>
      <xdr:rowOff>66675</xdr:rowOff>
    </xdr:from>
    <xdr:to>
      <xdr:col>14</xdr:col>
      <xdr:colOff>723899</xdr:colOff>
      <xdr:row>90</xdr:row>
      <xdr:rowOff>179070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xdr:colOff>
      <xdr:row>63</xdr:row>
      <xdr:rowOff>163830</xdr:rowOff>
    </xdr:from>
    <xdr:to>
      <xdr:col>5</xdr:col>
      <xdr:colOff>681990</xdr:colOff>
      <xdr:row>75</xdr:row>
      <xdr:rowOff>19050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6</xdr:col>
          <xdr:colOff>409575</xdr:colOff>
          <xdr:row>2</xdr:row>
          <xdr:rowOff>9525</xdr:rowOff>
        </xdr:from>
        <xdr:to>
          <xdr:col>7</xdr:col>
          <xdr:colOff>904875</xdr:colOff>
          <xdr:row>2</xdr:row>
          <xdr:rowOff>628650</xdr:rowOff>
        </xdr:to>
        <xdr:sp macro="" textlink="">
          <xdr:nvSpPr>
            <xdr:cNvPr id="2059" name="Button 11" hidden="1">
              <a:extLst>
                <a:ext uri="{63B3BB69-23CF-44E3-9099-C40C66FF867C}">
                  <a14:compatExt spid="_x0000_s2059"/>
                </a:ext>
                <a:ext uri="{FF2B5EF4-FFF2-40B4-BE49-F238E27FC236}">
                  <a16:creationId xmlns:a16="http://schemas.microsoft.com/office/drawing/2014/main" id="{00000000-0008-0000-0300-00000B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CR" sz="1100" b="0" i="0" u="none" strike="noStrike" baseline="0">
                  <a:solidFill>
                    <a:srgbClr val="000000"/>
                  </a:solidFill>
                  <a:latin typeface="Arial"/>
                  <a:cs typeface="Arial"/>
                </a:rPr>
                <a:t>Configuración parámetros</a:t>
              </a:r>
            </a:p>
          </xdr:txBody>
        </xdr:sp>
        <xdr:clientData fPrintsWithSheet="0"/>
      </xdr:twoCellAnchor>
    </mc:Choice>
    <mc:Fallback/>
  </mc:AlternateContent>
  <xdr:twoCellAnchor editAs="oneCell">
    <xdr:from>
      <xdr:col>11</xdr:col>
      <xdr:colOff>1013478</xdr:colOff>
      <xdr:row>1</xdr:row>
      <xdr:rowOff>74084</xdr:rowOff>
    </xdr:from>
    <xdr:to>
      <xdr:col>14</xdr:col>
      <xdr:colOff>666749</xdr:colOff>
      <xdr:row>3</xdr:row>
      <xdr:rowOff>179916</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3"/>
        <a:stretch>
          <a:fillRect/>
        </a:stretch>
      </xdr:blipFill>
      <xdr:spPr>
        <a:xfrm>
          <a:off x="10972395" y="529167"/>
          <a:ext cx="2690687" cy="11641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104775</xdr:colOff>
      <xdr:row>3</xdr:row>
      <xdr:rowOff>139700</xdr:rowOff>
    </xdr:from>
    <xdr:to>
      <xdr:col>19</xdr:col>
      <xdr:colOff>703102</xdr:colOff>
      <xdr:row>25</xdr:row>
      <xdr:rowOff>76200</xdr:rowOff>
    </xdr:to>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a:duotone>
            <a:prstClr val="black"/>
            <a:schemeClr val="tx1">
              <a:lumMod val="95000"/>
              <a:lumOff val="5000"/>
              <a:tint val="45000"/>
              <a:satMod val="400000"/>
            </a:schemeClr>
          </a:duotone>
          <a:extLst>
            <a:ext uri="{28A0092B-C50C-407E-A947-70E740481C1C}">
              <a14:useLocalDpi xmlns:a14="http://schemas.microsoft.com/office/drawing/2010/main" val="0"/>
            </a:ext>
          </a:extLst>
        </a:blip>
        <a:srcRect l="10227" t="4163" r="26799" b="22766"/>
        <a:stretch/>
      </xdr:blipFill>
      <xdr:spPr>
        <a:xfrm>
          <a:off x="5692775" y="1229783"/>
          <a:ext cx="8218327" cy="3905250"/>
        </a:xfrm>
        <a:prstGeom prst="rect">
          <a:avLst/>
        </a:prstGeom>
      </xdr:spPr>
    </xdr:pic>
    <xdr:clientData/>
  </xdr:twoCellAnchor>
  <mc:AlternateContent xmlns:mc="http://schemas.openxmlformats.org/markup-compatibility/2006">
    <mc:Choice xmlns:a14="http://schemas.microsoft.com/office/drawing/2010/main" Requires="a14">
      <xdr:twoCellAnchor>
        <xdr:from>
          <xdr:col>8</xdr:col>
          <xdr:colOff>752475</xdr:colOff>
          <xdr:row>26</xdr:row>
          <xdr:rowOff>133350</xdr:rowOff>
        </xdr:from>
        <xdr:to>
          <xdr:col>11</xdr:col>
          <xdr:colOff>161925</xdr:colOff>
          <xdr:row>29</xdr:row>
          <xdr:rowOff>66675</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R" sz="1400" b="1" i="0" u="none" strike="noStrike" baseline="0">
                  <a:solidFill>
                    <a:srgbClr val="000000"/>
                  </a:solidFill>
                  <a:latin typeface="Calibri"/>
                  <a:cs typeface="Calibri"/>
                </a:rPr>
                <a:t>Calcular</a:t>
              </a:r>
              <a:r>
                <a:rPr lang="es-CR" sz="1400" b="0" i="0" u="none" strike="noStrike" baseline="0">
                  <a:solidFill>
                    <a:srgbClr val="000000"/>
                  </a:solidFill>
                  <a:latin typeface="Calibri"/>
                  <a:cs typeface="Calibri"/>
                </a:rPr>
                <a:t> </a:t>
              </a:r>
            </a:p>
          </xdr:txBody>
        </xdr:sp>
        <xdr:clientData fPrintsWithSheet="0"/>
      </xdr:twoCellAnchor>
    </mc:Choice>
    <mc:Fallback/>
  </mc:AlternateContent>
  <xdr:twoCellAnchor>
    <xdr:from>
      <xdr:col>11</xdr:col>
      <xdr:colOff>114300</xdr:colOff>
      <xdr:row>35</xdr:row>
      <xdr:rowOff>133350</xdr:rowOff>
    </xdr:from>
    <xdr:to>
      <xdr:col>20</xdr:col>
      <xdr:colOff>648380</xdr:colOff>
      <xdr:row>50</xdr:row>
      <xdr:rowOff>64974</xdr:rowOff>
    </xdr:to>
    <xdr:graphicFrame macro="">
      <xdr:nvGraphicFramePr>
        <xdr:cNvPr id="4" name="Gráfico 3">
          <a:extLst>
            <a:ext uri="{FF2B5EF4-FFF2-40B4-BE49-F238E27FC236}">
              <a16:creationId xmlns:a16="http://schemas.microsoft.com/office/drawing/2014/main" id="{00000000-0008-0000-04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57830</xdr:colOff>
      <xdr:row>54</xdr:row>
      <xdr:rowOff>57150</xdr:rowOff>
    </xdr:from>
    <xdr:to>
      <xdr:col>15</xdr:col>
      <xdr:colOff>704850</xdr:colOff>
      <xdr:row>66</xdr:row>
      <xdr:rowOff>171450</xdr:rowOff>
    </xdr:to>
    <xdr:graphicFrame macro="">
      <xdr:nvGraphicFramePr>
        <xdr:cNvPr id="5" name="Gráfico 4">
          <a:extLst>
            <a:ext uri="{FF2B5EF4-FFF2-40B4-BE49-F238E27FC236}">
              <a16:creationId xmlns:a16="http://schemas.microsoft.com/office/drawing/2014/main" id="{00000000-0008-0000-04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15308</xdr:colOff>
      <xdr:row>54</xdr:row>
      <xdr:rowOff>63783</xdr:rowOff>
    </xdr:from>
    <xdr:to>
      <xdr:col>20</xdr:col>
      <xdr:colOff>662328</xdr:colOff>
      <xdr:row>66</xdr:row>
      <xdr:rowOff>178083</xdr:rowOff>
    </xdr:to>
    <xdr:graphicFrame macro="">
      <xdr:nvGraphicFramePr>
        <xdr:cNvPr id="6" name="Gráfico 5">
          <a:extLst>
            <a:ext uri="{FF2B5EF4-FFF2-40B4-BE49-F238E27FC236}">
              <a16:creationId xmlns:a16="http://schemas.microsoft.com/office/drawing/2014/main" id="{00000000-0008-0000-04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57150</xdr:colOff>
      <xdr:row>67</xdr:row>
      <xdr:rowOff>58341</xdr:rowOff>
    </xdr:from>
    <xdr:to>
      <xdr:col>15</xdr:col>
      <xdr:colOff>704170</xdr:colOff>
      <xdr:row>79</xdr:row>
      <xdr:rowOff>172641</xdr:rowOff>
    </xdr:to>
    <xdr:graphicFrame macro="">
      <xdr:nvGraphicFramePr>
        <xdr:cNvPr id="7" name="Gráfico 6">
          <a:extLst>
            <a:ext uri="{FF2B5EF4-FFF2-40B4-BE49-F238E27FC236}">
              <a16:creationId xmlns:a16="http://schemas.microsoft.com/office/drawing/2014/main" id="{00000000-0008-0000-04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mc:AlternateContent xmlns:mc="http://schemas.openxmlformats.org/markup-compatibility/2006">
    <mc:Choice xmlns:a14="http://schemas.microsoft.com/office/drawing/2010/main" Requires="a14">
      <xdr:twoCellAnchor>
        <xdr:from>
          <xdr:col>11</xdr:col>
          <xdr:colOff>571500</xdr:colOff>
          <xdr:row>26</xdr:row>
          <xdr:rowOff>123825</xdr:rowOff>
        </xdr:from>
        <xdr:to>
          <xdr:col>13</xdr:col>
          <xdr:colOff>752475</xdr:colOff>
          <xdr:row>29</xdr:row>
          <xdr:rowOff>57150</xdr:rowOff>
        </xdr:to>
        <xdr:sp macro="" textlink="">
          <xdr:nvSpPr>
            <xdr:cNvPr id="4099" name="Button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s-CR" sz="1400" b="0" i="0" u="none" strike="noStrike" baseline="0">
                  <a:solidFill>
                    <a:srgbClr val="000000"/>
                  </a:solidFill>
                  <a:latin typeface="Calibri"/>
                  <a:cs typeface="Calibri"/>
                </a:rPr>
                <a:t>Configuración coeficientes</a:t>
              </a:r>
            </a:p>
          </xdr:txBody>
        </xdr:sp>
        <xdr:clientData fPrintsWithSheet="0"/>
      </xdr:twoCellAnchor>
    </mc:Choice>
    <mc:Fallback/>
  </mc:AlternateContent>
  <xdr:twoCellAnchor editAs="oneCell">
    <xdr:from>
      <xdr:col>20</xdr:col>
      <xdr:colOff>296333</xdr:colOff>
      <xdr:row>1</xdr:row>
      <xdr:rowOff>21167</xdr:rowOff>
    </xdr:from>
    <xdr:to>
      <xdr:col>23</xdr:col>
      <xdr:colOff>740833</xdr:colOff>
      <xdr:row>5</xdr:row>
      <xdr:rowOff>175976</xdr:rowOff>
    </xdr:to>
    <xdr:pic>
      <xdr:nvPicPr>
        <xdr:cNvPr id="3" name="Imagen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6"/>
        <a:stretch>
          <a:fillRect/>
        </a:stretch>
      </xdr:blipFill>
      <xdr:spPr>
        <a:xfrm>
          <a:off x="14266333" y="455084"/>
          <a:ext cx="2730500" cy="1181392"/>
        </a:xfrm>
        <a:prstGeom prst="rect">
          <a:avLst/>
        </a:prstGeom>
      </xdr:spPr>
    </xdr:pic>
    <xdr:clientData/>
  </xdr:twoCellAnchor>
  <xdr:twoCellAnchor editAs="oneCell">
    <xdr:from>
      <xdr:col>9</xdr:col>
      <xdr:colOff>751416</xdr:colOff>
      <xdr:row>107</xdr:row>
      <xdr:rowOff>0</xdr:rowOff>
    </xdr:from>
    <xdr:to>
      <xdr:col>13</xdr:col>
      <xdr:colOff>55019</xdr:colOff>
      <xdr:row>112</xdr:row>
      <xdr:rowOff>96706</xdr:rowOff>
    </xdr:to>
    <xdr:pic>
      <xdr:nvPicPr>
        <xdr:cNvPr id="8" name="Imagen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6"/>
        <a:stretch>
          <a:fillRect/>
        </a:stretch>
      </xdr:blipFill>
      <xdr:spPr>
        <a:xfrm>
          <a:off x="6339416" y="20616333"/>
          <a:ext cx="2351603" cy="101745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57150</xdr:colOff>
          <xdr:row>2</xdr:row>
          <xdr:rowOff>314325</xdr:rowOff>
        </xdr:from>
        <xdr:to>
          <xdr:col>15</xdr:col>
          <xdr:colOff>0</xdr:colOff>
          <xdr:row>3</xdr:row>
          <xdr:rowOff>76200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500-000006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B2</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1162050</xdr:colOff>
          <xdr:row>42</xdr:row>
          <xdr:rowOff>66675</xdr:rowOff>
        </xdr:from>
        <xdr:to>
          <xdr:col>3</xdr:col>
          <xdr:colOff>752475</xdr:colOff>
          <xdr:row>44</xdr:row>
          <xdr:rowOff>114300</xdr:rowOff>
        </xdr:to>
        <xdr:sp macro="" textlink="">
          <xdr:nvSpPr>
            <xdr:cNvPr id="3079" name="Button 7" hidden="1">
              <a:extLst>
                <a:ext uri="{63B3BB69-23CF-44E3-9099-C40C66FF867C}">
                  <a14:compatExt spid="_x0000_s3079"/>
                </a:ext>
                <a:ext uri="{FF2B5EF4-FFF2-40B4-BE49-F238E27FC236}">
                  <a16:creationId xmlns:a16="http://schemas.microsoft.com/office/drawing/2014/main" id="{00000000-0008-0000-0500-000007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Cálculo transición de entrada</a:t>
              </a:r>
            </a:p>
          </xdr:txBody>
        </xdr:sp>
        <xdr:clientData fPrintsWithSheet="0"/>
      </xdr:twoCellAnchor>
    </mc:Choice>
    <mc:Fallback/>
  </mc:AlternateContent>
  <xdr:oneCellAnchor>
    <xdr:from>
      <xdr:col>10</xdr:col>
      <xdr:colOff>288893</xdr:colOff>
      <xdr:row>95</xdr:row>
      <xdr:rowOff>108426</xdr:rowOff>
    </xdr:from>
    <xdr:ext cx="179536" cy="176202"/>
    <mc:AlternateContent xmlns:mc="http://schemas.openxmlformats.org/markup-compatibility/2006" xmlns:a14="http://schemas.microsoft.com/office/drawing/2010/main">
      <mc:Choice Requires="a14">
        <xdr:sp macro="" textlink="">
          <xdr:nvSpPr>
            <xdr:cNvPr id="9" name="CuadroTexto 8">
              <a:extLst>
                <a:ext uri="{FF2B5EF4-FFF2-40B4-BE49-F238E27FC236}">
                  <a16:creationId xmlns:a16="http://schemas.microsoft.com/office/drawing/2014/main" id="{00000000-0008-0000-0500-000009000000}"/>
                </a:ext>
              </a:extLst>
            </xdr:cNvPr>
            <xdr:cNvSpPr txBox="1"/>
          </xdr:nvSpPr>
          <xdr:spPr>
            <a:xfrm>
              <a:off x="7908893" y="3918426"/>
              <a:ext cx="179536" cy="1762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acc>
                      <m:accPr>
                        <m:chr m:val="̅"/>
                        <m:ctrlPr>
                          <a:rPr lang="es-CR" sz="1100" i="1">
                            <a:latin typeface="Cambria Math" panose="02040503050406030204" pitchFamily="18" charset="0"/>
                          </a:rPr>
                        </m:ctrlPr>
                      </m:accPr>
                      <m:e>
                        <m:r>
                          <a:rPr lang="es-CR" sz="1100" b="0" i="1">
                            <a:latin typeface="Cambria Math" panose="02040503050406030204" pitchFamily="18" charset="0"/>
                          </a:rPr>
                          <m:t>𝑆𝑒</m:t>
                        </m:r>
                      </m:e>
                    </m:acc>
                  </m:oMath>
                </m:oMathPara>
              </a14:m>
              <a:endParaRPr lang="es-CR" sz="1100"/>
            </a:p>
          </xdr:txBody>
        </xdr:sp>
      </mc:Choice>
      <mc:Fallback xmlns="">
        <xdr:sp macro="" textlink="">
          <xdr:nvSpPr>
            <xdr:cNvPr id="9" name="CuadroTexto 8"/>
            <xdr:cNvSpPr txBox="1"/>
          </xdr:nvSpPr>
          <xdr:spPr>
            <a:xfrm>
              <a:off x="7908893" y="3918426"/>
              <a:ext cx="179536" cy="1762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CR" sz="1100" i="0">
                  <a:latin typeface="Cambria Math" panose="02040503050406030204" pitchFamily="18" charset="0"/>
                </a:rPr>
                <a:t>(</a:t>
              </a:r>
              <a:r>
                <a:rPr lang="es-CR" sz="1100" b="0" i="0">
                  <a:latin typeface="Cambria Math" panose="02040503050406030204" pitchFamily="18" charset="0"/>
                </a:rPr>
                <a:t>𝑆𝑒) ̅</a:t>
              </a:r>
              <a:endParaRPr lang="es-CR" sz="1100"/>
            </a:p>
          </xdr:txBody>
        </xdr:sp>
      </mc:Fallback>
    </mc:AlternateContent>
    <xdr:clientData/>
  </xdr:oneCellAnchor>
  <xdr:oneCellAnchor>
    <xdr:from>
      <xdr:col>11</xdr:col>
      <xdr:colOff>155543</xdr:colOff>
      <xdr:row>95</xdr:row>
      <xdr:rowOff>117951</xdr:rowOff>
    </xdr:from>
    <xdr:ext cx="500522" cy="176202"/>
    <mc:AlternateContent xmlns:mc="http://schemas.openxmlformats.org/markup-compatibility/2006" xmlns:a14="http://schemas.microsoft.com/office/drawing/2010/main">
      <mc:Choice Requires="a14">
        <xdr:sp macro="" textlink="">
          <xdr:nvSpPr>
            <xdr:cNvPr id="10" name="CuadroTexto 9">
              <a:extLst>
                <a:ext uri="{FF2B5EF4-FFF2-40B4-BE49-F238E27FC236}">
                  <a16:creationId xmlns:a16="http://schemas.microsoft.com/office/drawing/2014/main" id="{00000000-0008-0000-0500-00000A000000}"/>
                </a:ext>
              </a:extLst>
            </xdr:cNvPr>
            <xdr:cNvSpPr txBox="1"/>
          </xdr:nvSpPr>
          <xdr:spPr>
            <a:xfrm>
              <a:off x="8537543" y="3927951"/>
              <a:ext cx="500522" cy="1762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s-CR" sz="1100" b="0" i="1">
                        <a:latin typeface="Cambria Math" panose="02040503050406030204" pitchFamily="18" charset="0"/>
                      </a:rPr>
                      <m:t>𝑆𝑜</m:t>
                    </m:r>
                    <m:r>
                      <a:rPr lang="es-CR" sz="1100" b="0" i="1">
                        <a:latin typeface="Cambria Math" panose="02040503050406030204" pitchFamily="18" charset="0"/>
                      </a:rPr>
                      <m:t>−</m:t>
                    </m:r>
                    <m:acc>
                      <m:accPr>
                        <m:chr m:val="̅"/>
                        <m:ctrlPr>
                          <a:rPr lang="es-CR" sz="1100" i="1">
                            <a:latin typeface="Cambria Math" panose="02040503050406030204" pitchFamily="18" charset="0"/>
                          </a:rPr>
                        </m:ctrlPr>
                      </m:accPr>
                      <m:e>
                        <m:r>
                          <a:rPr lang="es-CR" sz="1100" b="0" i="1">
                            <a:latin typeface="Cambria Math" panose="02040503050406030204" pitchFamily="18" charset="0"/>
                          </a:rPr>
                          <m:t>𝑆𝑒</m:t>
                        </m:r>
                      </m:e>
                    </m:acc>
                  </m:oMath>
                </m:oMathPara>
              </a14:m>
              <a:endParaRPr lang="es-CR" sz="1100"/>
            </a:p>
          </xdr:txBody>
        </xdr:sp>
      </mc:Choice>
      <mc:Fallback xmlns="">
        <xdr:sp macro="" textlink="">
          <xdr:nvSpPr>
            <xdr:cNvPr id="10" name="CuadroTexto 9"/>
            <xdr:cNvSpPr txBox="1"/>
          </xdr:nvSpPr>
          <xdr:spPr>
            <a:xfrm>
              <a:off x="8537543" y="3927951"/>
              <a:ext cx="500522" cy="1762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s-CR" sz="1100" b="0" i="0">
                  <a:latin typeface="Cambria Math" panose="02040503050406030204" pitchFamily="18" charset="0"/>
                </a:rPr>
                <a:t>𝑆𝑜−</a:t>
              </a:r>
              <a:r>
                <a:rPr lang="es-CR" sz="1100" i="0">
                  <a:latin typeface="Cambria Math" panose="02040503050406030204" pitchFamily="18" charset="0"/>
                </a:rPr>
                <a:t>(</a:t>
              </a:r>
              <a:r>
                <a:rPr lang="es-CR" sz="1100" b="0" i="0">
                  <a:latin typeface="Cambria Math" panose="02040503050406030204" pitchFamily="18" charset="0"/>
                </a:rPr>
                <a:t>𝑆𝑒) ̅</a:t>
              </a:r>
              <a:endParaRPr lang="es-CR" sz="1100"/>
            </a:p>
          </xdr:txBody>
        </xdr:sp>
      </mc:Fallback>
    </mc:AlternateContent>
    <xdr:clientData/>
  </xdr:oneCellAnchor>
  <mc:AlternateContent xmlns:mc="http://schemas.openxmlformats.org/markup-compatibility/2006">
    <mc:Choice xmlns:a14="http://schemas.microsoft.com/office/drawing/2010/main" Requires="a14">
      <xdr:twoCellAnchor>
        <xdr:from>
          <xdr:col>13</xdr:col>
          <xdr:colOff>47625</xdr:colOff>
          <xdr:row>4</xdr:row>
          <xdr:rowOff>28575</xdr:rowOff>
        </xdr:from>
        <xdr:to>
          <xdr:col>15</xdr:col>
          <xdr:colOff>28575</xdr:colOff>
          <xdr:row>6</xdr:row>
          <xdr:rowOff>85725</xdr:rowOff>
        </xdr:to>
        <xdr:sp macro="" textlink="">
          <xdr:nvSpPr>
            <xdr:cNvPr id="3085" name="Button 13" hidden="1">
              <a:extLst>
                <a:ext uri="{63B3BB69-23CF-44E3-9099-C40C66FF867C}">
                  <a14:compatExt spid="_x0000_s3085"/>
                </a:ext>
                <a:ext uri="{FF2B5EF4-FFF2-40B4-BE49-F238E27FC236}">
                  <a16:creationId xmlns:a16="http://schemas.microsoft.com/office/drawing/2014/main" id="{00000000-0008-0000-0500-00000D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B5</a:t>
              </a:r>
            </a:p>
          </xdr:txBody>
        </xdr:sp>
        <xdr:clientData fPrintsWithSheet="0"/>
      </xdr:twoCellAnchor>
    </mc:Choice>
    <mc:Fallback/>
  </mc:AlternateContent>
  <xdr:twoCellAnchor>
    <xdr:from>
      <xdr:col>4</xdr:col>
      <xdr:colOff>185736</xdr:colOff>
      <xdr:row>103</xdr:row>
      <xdr:rowOff>100012</xdr:rowOff>
    </xdr:from>
    <xdr:to>
      <xdr:col>16</xdr:col>
      <xdr:colOff>9525</xdr:colOff>
      <xdr:row>116</xdr:row>
      <xdr:rowOff>38100</xdr:rowOff>
    </xdr:to>
    <xdr:graphicFrame macro="">
      <xdr:nvGraphicFramePr>
        <xdr:cNvPr id="8" name="Gráfico 7">
          <a:extLst>
            <a:ext uri="{FF2B5EF4-FFF2-40B4-BE49-F238E27FC236}">
              <a16:creationId xmlns:a16="http://schemas.microsoft.com/office/drawing/2014/main" id="{00000000-0008-0000-05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128587</xdr:colOff>
      <xdr:row>133</xdr:row>
      <xdr:rowOff>171451</xdr:rowOff>
    </xdr:from>
    <xdr:to>
      <xdr:col>14</xdr:col>
      <xdr:colOff>128587</xdr:colOff>
      <xdr:row>148</xdr:row>
      <xdr:rowOff>23813</xdr:rowOff>
    </xdr:to>
    <xdr:graphicFrame macro="">
      <xdr:nvGraphicFramePr>
        <xdr:cNvPr id="13" name="Gráfico 12">
          <a:extLst>
            <a:ext uri="{FF2B5EF4-FFF2-40B4-BE49-F238E27FC236}">
              <a16:creationId xmlns:a16="http://schemas.microsoft.com/office/drawing/2014/main" id="{00000000-0008-0000-05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17</xdr:col>
          <xdr:colOff>542925</xdr:colOff>
          <xdr:row>139</xdr:row>
          <xdr:rowOff>95250</xdr:rowOff>
        </xdr:from>
        <xdr:to>
          <xdr:col>20</xdr:col>
          <xdr:colOff>504825</xdr:colOff>
          <xdr:row>143</xdr:row>
          <xdr:rowOff>57150</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500-00000E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Calcular Curva II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42</xdr:row>
          <xdr:rowOff>95250</xdr:rowOff>
        </xdr:from>
        <xdr:to>
          <xdr:col>12</xdr:col>
          <xdr:colOff>742950</xdr:colOff>
          <xdr:row>44</xdr:row>
          <xdr:rowOff>133350</xdr:rowOff>
        </xdr:to>
        <xdr:sp macro="" textlink="">
          <xdr:nvSpPr>
            <xdr:cNvPr id="3092" name="Button 20" hidden="1">
              <a:extLst>
                <a:ext uri="{63B3BB69-23CF-44E3-9099-C40C66FF867C}">
                  <a14:compatExt spid="_x0000_s3092"/>
                </a:ext>
                <a:ext uri="{FF2B5EF4-FFF2-40B4-BE49-F238E27FC236}">
                  <a16:creationId xmlns:a16="http://schemas.microsoft.com/office/drawing/2014/main" id="{00000000-0008-0000-0500-00001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Cálculo transición de salida</a:t>
              </a:r>
            </a:p>
          </xdr:txBody>
        </xdr:sp>
        <xdr:clientData fPrintsWithSheet="0"/>
      </xdr:twoCellAnchor>
    </mc:Choice>
    <mc:Fallback/>
  </mc:AlternateContent>
  <xdr:twoCellAnchor>
    <xdr:from>
      <xdr:col>7</xdr:col>
      <xdr:colOff>238125</xdr:colOff>
      <xdr:row>152</xdr:row>
      <xdr:rowOff>180975</xdr:rowOff>
    </xdr:from>
    <xdr:to>
      <xdr:col>14</xdr:col>
      <xdr:colOff>238125</xdr:colOff>
      <xdr:row>167</xdr:row>
      <xdr:rowOff>33337</xdr:rowOff>
    </xdr:to>
    <xdr:graphicFrame macro="">
      <xdr:nvGraphicFramePr>
        <xdr:cNvPr id="11" name="Gráfico 10">
          <a:extLst>
            <a:ext uri="{FF2B5EF4-FFF2-40B4-BE49-F238E27FC236}">
              <a16:creationId xmlns:a16="http://schemas.microsoft.com/office/drawing/2014/main" id="{00000000-0008-0000-05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mc:AlternateContent xmlns:mc="http://schemas.openxmlformats.org/markup-compatibility/2006">
    <mc:Choice xmlns:a14="http://schemas.microsoft.com/office/drawing/2010/main" Requires="a14">
      <xdr:twoCellAnchor>
        <xdr:from>
          <xdr:col>4</xdr:col>
          <xdr:colOff>190500</xdr:colOff>
          <xdr:row>196</xdr:row>
          <xdr:rowOff>228600</xdr:rowOff>
        </xdr:from>
        <xdr:to>
          <xdr:col>5</xdr:col>
          <xdr:colOff>485775</xdr:colOff>
          <xdr:row>199</xdr:row>
          <xdr:rowOff>180975</xdr:rowOff>
        </xdr:to>
        <xdr:sp macro="" textlink="">
          <xdr:nvSpPr>
            <xdr:cNvPr id="3095" name="Button 23" hidden="1">
              <a:extLst>
                <a:ext uri="{63B3BB69-23CF-44E3-9099-C40C66FF867C}">
                  <a14:compatExt spid="_x0000_s3095"/>
                </a:ext>
                <a:ext uri="{FF2B5EF4-FFF2-40B4-BE49-F238E27FC236}">
                  <a16:creationId xmlns:a16="http://schemas.microsoft.com/office/drawing/2014/main" id="{00000000-0008-0000-0500-000017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Botón 23</a:t>
              </a:r>
            </a:p>
          </xdr:txBody>
        </xdr:sp>
        <xdr:clientData fPrintsWithSheet="0"/>
      </xdr:twoCellAnchor>
    </mc:Choice>
    <mc:Fallback/>
  </mc:AlternateContent>
  <xdr:twoCellAnchor>
    <xdr:from>
      <xdr:col>10</xdr:col>
      <xdr:colOff>37418</xdr:colOff>
      <xdr:row>221</xdr:row>
      <xdr:rowOff>178595</xdr:rowOff>
    </xdr:from>
    <xdr:to>
      <xdr:col>19</xdr:col>
      <xdr:colOff>651440</xdr:colOff>
      <xdr:row>238</xdr:row>
      <xdr:rowOff>119063</xdr:rowOff>
    </xdr:to>
    <xdr:graphicFrame macro="">
      <xdr:nvGraphicFramePr>
        <xdr:cNvPr id="3" name="Gráfico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xdr:from>
          <xdr:col>13</xdr:col>
          <xdr:colOff>76200</xdr:colOff>
          <xdr:row>0</xdr:row>
          <xdr:rowOff>400050</xdr:rowOff>
        </xdr:from>
        <xdr:to>
          <xdr:col>14</xdr:col>
          <xdr:colOff>733425</xdr:colOff>
          <xdr:row>2</xdr:row>
          <xdr:rowOff>209550</xdr:rowOff>
        </xdr:to>
        <xdr:sp macro="" textlink="">
          <xdr:nvSpPr>
            <xdr:cNvPr id="3096" name="Botón 24" hidden="1">
              <a:extLst>
                <a:ext uri="{63B3BB69-23CF-44E3-9099-C40C66FF867C}">
                  <a14:compatExt spid="_x0000_s3096"/>
                </a:ext>
                <a:ext uri="{FF2B5EF4-FFF2-40B4-BE49-F238E27FC236}">
                  <a16:creationId xmlns:a16="http://schemas.microsoft.com/office/drawing/2014/main" id="{00000000-0008-0000-0500-000018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s-CR" sz="1100" b="0" i="0" u="none" strike="noStrike" baseline="0">
                  <a:solidFill>
                    <a:srgbClr val="000000"/>
                  </a:solidFill>
                  <a:latin typeface="Calibri"/>
                  <a:cs typeface="Calibri"/>
                </a:rPr>
                <a:t>B1</a:t>
              </a:r>
            </a:p>
          </xdr:txBody>
        </xdr:sp>
        <xdr:clientData fPrintsWithSheet="0"/>
      </xdr:twoCellAnchor>
    </mc:Choice>
    <mc:Fallback/>
  </mc:AlternateContent>
  <xdr:twoCellAnchor>
    <xdr:from>
      <xdr:col>13</xdr:col>
      <xdr:colOff>282347</xdr:colOff>
      <xdr:row>240</xdr:row>
      <xdr:rowOff>146447</xdr:rowOff>
    </xdr:from>
    <xdr:to>
      <xdr:col>19</xdr:col>
      <xdr:colOff>518582</xdr:colOff>
      <xdr:row>255</xdr:row>
      <xdr:rowOff>83174</xdr:rowOff>
    </xdr:to>
    <xdr:graphicFrame macro="">
      <xdr:nvGraphicFramePr>
        <xdr:cNvPr id="2" name="Gráfico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13</xdr:col>
      <xdr:colOff>320901</xdr:colOff>
      <xdr:row>271</xdr:row>
      <xdr:rowOff>146656</xdr:rowOff>
    </xdr:from>
    <xdr:to>
      <xdr:col>19</xdr:col>
      <xdr:colOff>550332</xdr:colOff>
      <xdr:row>286</xdr:row>
      <xdr:rowOff>104550</xdr:rowOff>
    </xdr:to>
    <xdr:graphicFrame macro="">
      <xdr:nvGraphicFramePr>
        <xdr:cNvPr id="16" name="Gráfico 15">
          <a:extLst>
            <a:ext uri="{FF2B5EF4-FFF2-40B4-BE49-F238E27FC236}">
              <a16:creationId xmlns:a16="http://schemas.microsoft.com/office/drawing/2014/main" id="{00000000-0008-0000-05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13</xdr:col>
      <xdr:colOff>264960</xdr:colOff>
      <xdr:row>256</xdr:row>
      <xdr:rowOff>89581</xdr:rowOff>
    </xdr:from>
    <xdr:to>
      <xdr:col>19</xdr:col>
      <xdr:colOff>529165</xdr:colOff>
      <xdr:row>271</xdr:row>
      <xdr:rowOff>26307</xdr:rowOff>
    </xdr:to>
    <xdr:graphicFrame macro="">
      <xdr:nvGraphicFramePr>
        <xdr:cNvPr id="17" name="Gráfico 16">
          <a:extLst>
            <a:ext uri="{FF2B5EF4-FFF2-40B4-BE49-F238E27FC236}">
              <a16:creationId xmlns:a16="http://schemas.microsoft.com/office/drawing/2014/main" id="{00000000-0008-0000-05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25</xdr:col>
      <xdr:colOff>84665</xdr:colOff>
      <xdr:row>221</xdr:row>
      <xdr:rowOff>178858</xdr:rowOff>
    </xdr:from>
    <xdr:to>
      <xdr:col>36</xdr:col>
      <xdr:colOff>412748</xdr:colOff>
      <xdr:row>238</xdr:row>
      <xdr:rowOff>105833</xdr:rowOff>
    </xdr:to>
    <xdr:graphicFrame macro="">
      <xdr:nvGraphicFramePr>
        <xdr:cNvPr id="5" name="Gráfico 4">
          <a:extLst>
            <a:ext uri="{FF2B5EF4-FFF2-40B4-BE49-F238E27FC236}">
              <a16:creationId xmlns:a16="http://schemas.microsoft.com/office/drawing/2014/main" id="{00000000-0008-0000-05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21166</xdr:colOff>
      <xdr:row>42</xdr:row>
      <xdr:rowOff>21167</xdr:rowOff>
    </xdr:from>
    <xdr:to>
      <xdr:col>13</xdr:col>
      <xdr:colOff>31749</xdr:colOff>
      <xdr:row>44</xdr:row>
      <xdr:rowOff>169334</xdr:rowOff>
    </xdr:to>
    <xdr:sp macro="" textlink="">
      <xdr:nvSpPr>
        <xdr:cNvPr id="4" name="Rectángulo 3">
          <a:extLst>
            <a:ext uri="{FF2B5EF4-FFF2-40B4-BE49-F238E27FC236}">
              <a16:creationId xmlns:a16="http://schemas.microsoft.com/office/drawing/2014/main" id="{00000000-0008-0000-0500-000004000000}"/>
            </a:ext>
          </a:extLst>
        </xdr:cNvPr>
        <xdr:cNvSpPr/>
      </xdr:nvSpPr>
      <xdr:spPr>
        <a:xfrm>
          <a:off x="21166" y="10287000"/>
          <a:ext cx="10604500" cy="529167"/>
        </a:xfrm>
        <a:prstGeom prst="rect">
          <a:avLst/>
        </a:prstGeom>
        <a:solidFill>
          <a:schemeClr val="bg1">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R" sz="1100"/>
        </a:p>
      </xdr:txBody>
    </xdr:sp>
    <xdr:clientData/>
  </xdr:twoCellAnchor>
  <xdr:twoCellAnchor>
    <xdr:from>
      <xdr:col>12</xdr:col>
      <xdr:colOff>317501</xdr:colOff>
      <xdr:row>0</xdr:row>
      <xdr:rowOff>21166</xdr:rowOff>
    </xdr:from>
    <xdr:to>
      <xdr:col>15</xdr:col>
      <xdr:colOff>317501</xdr:colOff>
      <xdr:row>7</xdr:row>
      <xdr:rowOff>74083</xdr:rowOff>
    </xdr:to>
    <xdr:sp macro="" textlink="">
      <xdr:nvSpPr>
        <xdr:cNvPr id="20" name="Rectángulo 19">
          <a:extLst>
            <a:ext uri="{FF2B5EF4-FFF2-40B4-BE49-F238E27FC236}">
              <a16:creationId xmlns:a16="http://schemas.microsoft.com/office/drawing/2014/main" id="{00000000-0008-0000-0500-000014000000}"/>
            </a:ext>
          </a:extLst>
        </xdr:cNvPr>
        <xdr:cNvSpPr/>
      </xdr:nvSpPr>
      <xdr:spPr>
        <a:xfrm>
          <a:off x="10149418" y="21166"/>
          <a:ext cx="2286000" cy="2275417"/>
        </a:xfrm>
        <a:prstGeom prst="rect">
          <a:avLst/>
        </a:prstGeom>
        <a:solidFill>
          <a:schemeClr val="bg1">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R" sz="1100"/>
        </a:p>
      </xdr:txBody>
    </xdr:sp>
    <xdr:clientData/>
  </xdr:twoCellAnchor>
  <xdr:twoCellAnchor>
    <xdr:from>
      <xdr:col>17</xdr:col>
      <xdr:colOff>148166</xdr:colOff>
      <xdr:row>139</xdr:row>
      <xdr:rowOff>84668</xdr:rowOff>
    </xdr:from>
    <xdr:to>
      <xdr:col>21</xdr:col>
      <xdr:colOff>190499</xdr:colOff>
      <xdr:row>145</xdr:row>
      <xdr:rowOff>84668</xdr:rowOff>
    </xdr:to>
    <xdr:sp macro="" textlink="">
      <xdr:nvSpPr>
        <xdr:cNvPr id="21" name="Rectángulo 20">
          <a:extLst>
            <a:ext uri="{FF2B5EF4-FFF2-40B4-BE49-F238E27FC236}">
              <a16:creationId xmlns:a16="http://schemas.microsoft.com/office/drawing/2014/main" id="{00000000-0008-0000-0500-000015000000}"/>
            </a:ext>
          </a:extLst>
        </xdr:cNvPr>
        <xdr:cNvSpPr/>
      </xdr:nvSpPr>
      <xdr:spPr>
        <a:xfrm>
          <a:off x="13821833" y="29887335"/>
          <a:ext cx="3037416" cy="1143000"/>
        </a:xfrm>
        <a:prstGeom prst="rect">
          <a:avLst/>
        </a:prstGeom>
        <a:solidFill>
          <a:schemeClr val="bg1">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R" sz="1100"/>
        </a:p>
      </xdr:txBody>
    </xdr:sp>
    <xdr:clientData/>
  </xdr:twoCellAnchor>
  <xdr:twoCellAnchor>
    <xdr:from>
      <xdr:col>4</xdr:col>
      <xdr:colOff>137584</xdr:colOff>
      <xdr:row>193</xdr:row>
      <xdr:rowOff>116417</xdr:rowOff>
    </xdr:from>
    <xdr:to>
      <xdr:col>7</xdr:col>
      <xdr:colOff>105834</xdr:colOff>
      <xdr:row>204</xdr:row>
      <xdr:rowOff>42334</xdr:rowOff>
    </xdr:to>
    <xdr:sp macro="" textlink="">
      <xdr:nvSpPr>
        <xdr:cNvPr id="22" name="Rectángulo 21">
          <a:extLst>
            <a:ext uri="{FF2B5EF4-FFF2-40B4-BE49-F238E27FC236}">
              <a16:creationId xmlns:a16="http://schemas.microsoft.com/office/drawing/2014/main" id="{00000000-0008-0000-0500-000016000000}"/>
            </a:ext>
          </a:extLst>
        </xdr:cNvPr>
        <xdr:cNvSpPr/>
      </xdr:nvSpPr>
      <xdr:spPr>
        <a:xfrm>
          <a:off x="3799417" y="41275000"/>
          <a:ext cx="2286000" cy="2275417"/>
        </a:xfrm>
        <a:prstGeom prst="rect">
          <a:avLst/>
        </a:prstGeom>
        <a:solidFill>
          <a:schemeClr val="bg1">
            <a:lumMod val="7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R" sz="1100"/>
        </a:p>
      </xdr:txBody>
    </xdr:sp>
    <xdr:clientData/>
  </xdr:twoCellAnchor>
  <xdr:twoCellAnchor editAs="oneCell">
    <xdr:from>
      <xdr:col>13</xdr:col>
      <xdr:colOff>333376</xdr:colOff>
      <xdr:row>0</xdr:row>
      <xdr:rowOff>47626</xdr:rowOff>
    </xdr:from>
    <xdr:to>
      <xdr:col>16</xdr:col>
      <xdr:colOff>595313</xdr:colOff>
      <xdr:row>2</xdr:row>
      <xdr:rowOff>481676</xdr:rowOff>
    </xdr:to>
    <xdr:pic>
      <xdr:nvPicPr>
        <xdr:cNvPr id="6" name="Imagen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9"/>
        <a:stretch>
          <a:fillRect/>
        </a:stretch>
      </xdr:blipFill>
      <xdr:spPr>
        <a:xfrm>
          <a:off x="10918032" y="47626"/>
          <a:ext cx="2571750" cy="1112706"/>
        </a:xfrm>
        <a:prstGeom prst="rect">
          <a:avLst/>
        </a:prstGeom>
      </xdr:spPr>
    </xdr:pic>
    <xdr:clientData/>
  </xdr:twoCellAnchor>
  <xdr:twoCellAnchor editAs="oneCell">
    <xdr:from>
      <xdr:col>13</xdr:col>
      <xdr:colOff>676276</xdr:colOff>
      <xdr:row>39</xdr:row>
      <xdr:rowOff>152400</xdr:rowOff>
    </xdr:from>
    <xdr:to>
      <xdr:col>17</xdr:col>
      <xdr:colOff>176213</xdr:colOff>
      <xdr:row>46</xdr:row>
      <xdr:rowOff>14950</xdr:rowOff>
    </xdr:to>
    <xdr:pic>
      <xdr:nvPicPr>
        <xdr:cNvPr id="7" name="Imagen 6">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9"/>
        <a:stretch>
          <a:fillRect/>
        </a:stretch>
      </xdr:blipFill>
      <xdr:spPr>
        <a:xfrm>
          <a:off x="11260932" y="9522619"/>
          <a:ext cx="2571750" cy="1112706"/>
        </a:xfrm>
        <a:prstGeom prst="rect">
          <a:avLst/>
        </a:prstGeom>
      </xdr:spPr>
    </xdr:pic>
    <xdr:clientData/>
  </xdr:twoCellAnchor>
  <xdr:twoCellAnchor editAs="oneCell">
    <xdr:from>
      <xdr:col>4</xdr:col>
      <xdr:colOff>709614</xdr:colOff>
      <xdr:row>77</xdr:row>
      <xdr:rowOff>30957</xdr:rowOff>
    </xdr:from>
    <xdr:to>
      <xdr:col>8</xdr:col>
      <xdr:colOff>364332</xdr:colOff>
      <xdr:row>83</xdr:row>
      <xdr:rowOff>48288</xdr:rowOff>
    </xdr:to>
    <xdr:pic>
      <xdr:nvPicPr>
        <xdr:cNvPr id="12" name="Imagen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9"/>
        <a:stretch>
          <a:fillRect/>
        </a:stretch>
      </xdr:blipFill>
      <xdr:spPr>
        <a:xfrm>
          <a:off x="4388645" y="17354551"/>
          <a:ext cx="2571750" cy="1112706"/>
        </a:xfrm>
        <a:prstGeom prst="rect">
          <a:avLst/>
        </a:prstGeom>
      </xdr:spPr>
    </xdr:pic>
    <xdr:clientData/>
  </xdr:twoCellAnchor>
  <xdr:twoCellAnchor editAs="oneCell">
    <xdr:from>
      <xdr:col>7</xdr:col>
      <xdr:colOff>40483</xdr:colOff>
      <xdr:row>127</xdr:row>
      <xdr:rowOff>28576</xdr:rowOff>
    </xdr:from>
    <xdr:to>
      <xdr:col>10</xdr:col>
      <xdr:colOff>171452</xdr:colOff>
      <xdr:row>133</xdr:row>
      <xdr:rowOff>22094</xdr:rowOff>
    </xdr:to>
    <xdr:pic>
      <xdr:nvPicPr>
        <xdr:cNvPr id="14" name="Imagen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9"/>
        <a:stretch>
          <a:fillRect/>
        </a:stretch>
      </xdr:blipFill>
      <xdr:spPr>
        <a:xfrm>
          <a:off x="6029327" y="26329482"/>
          <a:ext cx="2571750" cy="1112706"/>
        </a:xfrm>
        <a:prstGeom prst="rect">
          <a:avLst/>
        </a:prstGeom>
      </xdr:spPr>
    </xdr:pic>
    <xdr:clientData/>
  </xdr:twoCellAnchor>
  <xdr:twoCellAnchor editAs="oneCell">
    <xdr:from>
      <xdr:col>4</xdr:col>
      <xdr:colOff>250033</xdr:colOff>
      <xdr:row>196</xdr:row>
      <xdr:rowOff>214313</xdr:rowOff>
    </xdr:from>
    <xdr:to>
      <xdr:col>7</xdr:col>
      <xdr:colOff>511970</xdr:colOff>
      <xdr:row>202</xdr:row>
      <xdr:rowOff>207832</xdr:rowOff>
    </xdr:to>
    <xdr:pic>
      <xdr:nvPicPr>
        <xdr:cNvPr id="15" name="Imagen 14">
          <a:extLst>
            <a:ext uri="{FF2B5EF4-FFF2-40B4-BE49-F238E27FC236}">
              <a16:creationId xmlns:a16="http://schemas.microsoft.com/office/drawing/2014/main" id="{00000000-0008-0000-0500-00000F000000}"/>
            </a:ext>
          </a:extLst>
        </xdr:cNvPr>
        <xdr:cNvPicPr>
          <a:picLocks noChangeAspect="1"/>
        </xdr:cNvPicPr>
      </xdr:nvPicPr>
      <xdr:blipFill>
        <a:blip xmlns:r="http://schemas.openxmlformats.org/officeDocument/2006/relationships" r:embed="rId9"/>
        <a:stretch>
          <a:fillRect/>
        </a:stretch>
      </xdr:blipFill>
      <xdr:spPr>
        <a:xfrm>
          <a:off x="3929064" y="40302657"/>
          <a:ext cx="2571750" cy="111270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66675</xdr:colOff>
          <xdr:row>2</xdr:row>
          <xdr:rowOff>9525</xdr:rowOff>
        </xdr:from>
        <xdr:to>
          <xdr:col>5</xdr:col>
          <xdr:colOff>47625</xdr:colOff>
          <xdr:row>4</xdr:row>
          <xdr:rowOff>114300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600-00000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R" sz="1800" b="1" i="0" u="none" strike="noStrike" baseline="0">
                  <a:solidFill>
                    <a:srgbClr val="000000"/>
                  </a:solidFill>
                  <a:latin typeface="Calibri"/>
                  <a:cs typeface="Calibri"/>
                </a:rPr>
                <a:t>Calcular</a:t>
              </a:r>
            </a:p>
          </xdr:txBody>
        </xdr:sp>
        <xdr:clientData fPrintsWithSheet="0"/>
      </xdr:twoCellAnchor>
    </mc:Choice>
    <mc:Fallback/>
  </mc:AlternateContent>
  <xdr:twoCellAnchor editAs="oneCell">
    <xdr:from>
      <xdr:col>10</xdr:col>
      <xdr:colOff>95251</xdr:colOff>
      <xdr:row>12</xdr:row>
      <xdr:rowOff>114300</xdr:rowOff>
    </xdr:from>
    <xdr:to>
      <xdr:col>15</xdr:col>
      <xdr:colOff>412792</xdr:colOff>
      <xdr:row>20</xdr:row>
      <xdr:rowOff>19050</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duotone>
            <a:prstClr val="black"/>
            <a:schemeClr val="tx1">
              <a:tint val="45000"/>
              <a:satMod val="400000"/>
            </a:schemeClr>
          </a:duotone>
        </a:blip>
        <a:stretch>
          <a:fillRect/>
        </a:stretch>
      </xdr:blipFill>
      <xdr:spPr>
        <a:xfrm>
          <a:off x="7448551" y="3371850"/>
          <a:ext cx="4165641" cy="1685925"/>
        </a:xfrm>
        <a:prstGeom prst="rect">
          <a:avLst/>
        </a:prstGeom>
      </xdr:spPr>
    </xdr:pic>
    <xdr:clientData/>
  </xdr:twoCellAnchor>
  <xdr:twoCellAnchor editAs="oneCell">
    <xdr:from>
      <xdr:col>16</xdr:col>
      <xdr:colOff>57150</xdr:colOff>
      <xdr:row>11</xdr:row>
      <xdr:rowOff>66675</xdr:rowOff>
    </xdr:from>
    <xdr:to>
      <xdr:col>20</xdr:col>
      <xdr:colOff>151942</xdr:colOff>
      <xdr:row>19</xdr:row>
      <xdr:rowOff>14251</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2">
          <a:duotone>
            <a:prstClr val="black"/>
            <a:schemeClr val="tx1">
              <a:tint val="45000"/>
              <a:satMod val="400000"/>
            </a:schemeClr>
          </a:duotone>
        </a:blip>
        <a:stretch>
          <a:fillRect/>
        </a:stretch>
      </xdr:blipFill>
      <xdr:spPr>
        <a:xfrm>
          <a:off x="12020550" y="3009900"/>
          <a:ext cx="3142792" cy="1881151"/>
        </a:xfrm>
        <a:prstGeom prst="rect">
          <a:avLst/>
        </a:prstGeom>
      </xdr:spPr>
    </xdr:pic>
    <xdr:clientData/>
  </xdr:twoCellAnchor>
  <xdr:twoCellAnchor>
    <xdr:from>
      <xdr:col>0</xdr:col>
      <xdr:colOff>23811</xdr:colOff>
      <xdr:row>24</xdr:row>
      <xdr:rowOff>158750</xdr:rowOff>
    </xdr:from>
    <xdr:to>
      <xdr:col>9</xdr:col>
      <xdr:colOff>361949</xdr:colOff>
      <xdr:row>40</xdr:row>
      <xdr:rowOff>52917</xdr:rowOff>
    </xdr:to>
    <xdr:graphicFrame macro="">
      <xdr:nvGraphicFramePr>
        <xdr:cNvPr id="2" name="Gráfico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41</xdr:row>
      <xdr:rowOff>23812</xdr:rowOff>
    </xdr:from>
    <xdr:to>
      <xdr:col>9</xdr:col>
      <xdr:colOff>371474</xdr:colOff>
      <xdr:row>53</xdr:row>
      <xdr:rowOff>114300</xdr:rowOff>
    </xdr:to>
    <xdr:graphicFrame macro="">
      <xdr:nvGraphicFramePr>
        <xdr:cNvPr id="6" name="Gráfico 5">
          <a:extLst>
            <a:ext uri="{FF2B5EF4-FFF2-40B4-BE49-F238E27FC236}">
              <a16:creationId xmlns:a16="http://schemas.microsoft.com/office/drawing/2014/main" id="{00000000-0008-0000-06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17</xdr:col>
      <xdr:colOff>719667</xdr:colOff>
      <xdr:row>1</xdr:row>
      <xdr:rowOff>84667</xdr:rowOff>
    </xdr:from>
    <xdr:to>
      <xdr:col>21</xdr:col>
      <xdr:colOff>23270</xdr:colOff>
      <xdr:row>2</xdr:row>
      <xdr:rowOff>647039</xdr:rowOff>
    </xdr:to>
    <xdr:pic>
      <xdr:nvPicPr>
        <xdr:cNvPr id="5" name="Imagen 4">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5"/>
        <a:stretch>
          <a:fillRect/>
        </a:stretch>
      </xdr:blipFill>
      <xdr:spPr>
        <a:xfrm>
          <a:off x="13462000" y="476250"/>
          <a:ext cx="2351603" cy="1017456"/>
        </a:xfrm>
        <a:prstGeom prst="rect">
          <a:avLst/>
        </a:prstGeom>
      </xdr:spPr>
    </xdr:pic>
    <xdr:clientData/>
  </xdr:twoCellAnchor>
  <xdr:twoCellAnchor editAs="oneCell">
    <xdr:from>
      <xdr:col>14</xdr:col>
      <xdr:colOff>211667</xdr:colOff>
      <xdr:row>23</xdr:row>
      <xdr:rowOff>74083</xdr:rowOff>
    </xdr:from>
    <xdr:to>
      <xdr:col>17</xdr:col>
      <xdr:colOff>277270</xdr:colOff>
      <xdr:row>29</xdr:row>
      <xdr:rowOff>117872</xdr:rowOff>
    </xdr:to>
    <xdr:pic>
      <xdr:nvPicPr>
        <xdr:cNvPr id="7" name="Imagen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5"/>
        <a:stretch>
          <a:fillRect/>
        </a:stretch>
      </xdr:blipFill>
      <xdr:spPr>
        <a:xfrm>
          <a:off x="10668000" y="5566833"/>
          <a:ext cx="2351603" cy="101745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10</xdr:col>
      <xdr:colOff>57150</xdr:colOff>
      <xdr:row>24</xdr:row>
      <xdr:rowOff>223836</xdr:rowOff>
    </xdr:from>
    <xdr:to>
      <xdr:col>14</xdr:col>
      <xdr:colOff>685800</xdr:colOff>
      <xdr:row>44</xdr:row>
      <xdr:rowOff>28574</xdr:rowOff>
    </xdr:to>
    <xdr:graphicFrame macro="">
      <xdr:nvGraphicFramePr>
        <xdr:cNvPr id="2" name="Gráfico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57150</xdr:colOff>
      <xdr:row>24</xdr:row>
      <xdr:rowOff>223836</xdr:rowOff>
    </xdr:from>
    <xdr:to>
      <xdr:col>22</xdr:col>
      <xdr:colOff>685800</xdr:colOff>
      <xdr:row>44</xdr:row>
      <xdr:rowOff>28574</xdr:rowOff>
    </xdr:to>
    <xdr:graphicFrame macro="">
      <xdr:nvGraphicFramePr>
        <xdr:cNvPr id="3" name="Gráfico 2">
          <a:extLst>
            <a:ext uri="{FF2B5EF4-FFF2-40B4-BE49-F238E27FC236}">
              <a16:creationId xmlns:a16="http://schemas.microsoft.com/office/drawing/2014/main" id="{00000000-0008-0000-07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323850</xdr:colOff>
      <xdr:row>77</xdr:row>
      <xdr:rowOff>9525</xdr:rowOff>
    </xdr:from>
    <xdr:to>
      <xdr:col>11</xdr:col>
      <xdr:colOff>581026</xdr:colOff>
      <xdr:row>87</xdr:row>
      <xdr:rowOff>26334</xdr:rowOff>
    </xdr:to>
    <xdr:pic>
      <xdr:nvPicPr>
        <xdr:cNvPr id="5" name="Imagen 4">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3"/>
        <a:srcRect l="12362" t="41951" r="30107" b="25112"/>
        <a:stretch/>
      </xdr:blipFill>
      <xdr:spPr>
        <a:xfrm>
          <a:off x="3086100" y="16602075"/>
          <a:ext cx="5619750" cy="1809750"/>
        </a:xfrm>
        <a:prstGeom prst="rect">
          <a:avLst/>
        </a:prstGeom>
      </xdr:spPr>
    </xdr:pic>
    <xdr:clientData/>
  </xdr:twoCellAnchor>
  <xdr:twoCellAnchor>
    <xdr:from>
      <xdr:col>6</xdr:col>
      <xdr:colOff>209550</xdr:colOff>
      <xdr:row>77</xdr:row>
      <xdr:rowOff>28576</xdr:rowOff>
    </xdr:from>
    <xdr:to>
      <xdr:col>6</xdr:col>
      <xdr:colOff>523875</xdr:colOff>
      <xdr:row>78</xdr:row>
      <xdr:rowOff>47626</xdr:rowOff>
    </xdr:to>
    <xdr:sp macro="" textlink="">
      <xdr:nvSpPr>
        <xdr:cNvPr id="6" name="CuadroTexto 5">
          <a:extLst>
            <a:ext uri="{FF2B5EF4-FFF2-40B4-BE49-F238E27FC236}">
              <a16:creationId xmlns:a16="http://schemas.microsoft.com/office/drawing/2014/main" id="{00000000-0008-0000-0700-000006000000}"/>
            </a:ext>
          </a:extLst>
        </xdr:cNvPr>
        <xdr:cNvSpPr txBox="1"/>
      </xdr:nvSpPr>
      <xdr:spPr>
        <a:xfrm>
          <a:off x="5476875" y="16621126"/>
          <a:ext cx="3143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Lt</a:t>
          </a:r>
        </a:p>
      </xdr:txBody>
    </xdr:sp>
    <xdr:clientData/>
  </xdr:twoCellAnchor>
  <xdr:twoCellAnchor>
    <xdr:from>
      <xdr:col>8</xdr:col>
      <xdr:colOff>0</xdr:colOff>
      <xdr:row>77</xdr:row>
      <xdr:rowOff>19051</xdr:rowOff>
    </xdr:from>
    <xdr:to>
      <xdr:col>8</xdr:col>
      <xdr:colOff>314325</xdr:colOff>
      <xdr:row>78</xdr:row>
      <xdr:rowOff>38101</xdr:rowOff>
    </xdr:to>
    <xdr:sp macro="" textlink="">
      <xdr:nvSpPr>
        <xdr:cNvPr id="10" name="CuadroTexto 9">
          <a:extLst>
            <a:ext uri="{FF2B5EF4-FFF2-40B4-BE49-F238E27FC236}">
              <a16:creationId xmlns:a16="http://schemas.microsoft.com/office/drawing/2014/main" id="{00000000-0008-0000-0700-00000A000000}"/>
            </a:ext>
          </a:extLst>
        </xdr:cNvPr>
        <xdr:cNvSpPr txBox="1"/>
      </xdr:nvSpPr>
      <xdr:spPr>
        <a:xfrm>
          <a:off x="5267325" y="16611601"/>
          <a:ext cx="3143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L</a:t>
          </a:r>
        </a:p>
      </xdr:txBody>
    </xdr:sp>
    <xdr:clientData/>
  </xdr:twoCellAnchor>
  <xdr:twoCellAnchor>
    <xdr:from>
      <xdr:col>9</xdr:col>
      <xdr:colOff>704850</xdr:colOff>
      <xdr:row>77</xdr:row>
      <xdr:rowOff>38100</xdr:rowOff>
    </xdr:from>
    <xdr:to>
      <xdr:col>10</xdr:col>
      <xdr:colOff>314325</xdr:colOff>
      <xdr:row>78</xdr:row>
      <xdr:rowOff>47625</xdr:rowOff>
    </xdr:to>
    <xdr:sp macro="" textlink="">
      <xdr:nvSpPr>
        <xdr:cNvPr id="11" name="CuadroTexto 10">
          <a:extLst>
            <a:ext uri="{FF2B5EF4-FFF2-40B4-BE49-F238E27FC236}">
              <a16:creationId xmlns:a16="http://schemas.microsoft.com/office/drawing/2014/main" id="{00000000-0008-0000-0700-00000B000000}"/>
            </a:ext>
          </a:extLst>
        </xdr:cNvPr>
        <xdr:cNvSpPr txBox="1"/>
      </xdr:nvSpPr>
      <xdr:spPr>
        <a:xfrm>
          <a:off x="6734175" y="16630650"/>
          <a:ext cx="371475" cy="200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Lv</a:t>
          </a:r>
        </a:p>
      </xdr:txBody>
    </xdr:sp>
    <xdr:clientData/>
  </xdr:twoCellAnchor>
  <xdr:twoCellAnchor>
    <xdr:from>
      <xdr:col>10</xdr:col>
      <xdr:colOff>723900</xdr:colOff>
      <xdr:row>77</xdr:row>
      <xdr:rowOff>28576</xdr:rowOff>
    </xdr:from>
    <xdr:to>
      <xdr:col>11</xdr:col>
      <xdr:colOff>276225</xdr:colOff>
      <xdr:row>78</xdr:row>
      <xdr:rowOff>47626</xdr:rowOff>
    </xdr:to>
    <xdr:sp macro="" textlink="">
      <xdr:nvSpPr>
        <xdr:cNvPr id="13" name="CuadroTexto 12">
          <a:extLst>
            <a:ext uri="{FF2B5EF4-FFF2-40B4-BE49-F238E27FC236}">
              <a16:creationId xmlns:a16="http://schemas.microsoft.com/office/drawing/2014/main" id="{00000000-0008-0000-0700-00000D000000}"/>
            </a:ext>
          </a:extLst>
        </xdr:cNvPr>
        <xdr:cNvSpPr txBox="1"/>
      </xdr:nvSpPr>
      <xdr:spPr>
        <a:xfrm>
          <a:off x="7515225" y="16621126"/>
          <a:ext cx="314325"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Lt</a:t>
          </a:r>
        </a:p>
      </xdr:txBody>
    </xdr:sp>
    <xdr:clientData/>
  </xdr:twoCellAnchor>
  <xdr:twoCellAnchor>
    <xdr:from>
      <xdr:col>8</xdr:col>
      <xdr:colOff>200025</xdr:colOff>
      <xdr:row>81</xdr:row>
      <xdr:rowOff>1</xdr:rowOff>
    </xdr:from>
    <xdr:to>
      <xdr:col>8</xdr:col>
      <xdr:colOff>561975</xdr:colOff>
      <xdr:row>82</xdr:row>
      <xdr:rowOff>19050</xdr:rowOff>
    </xdr:to>
    <xdr:sp macro="" textlink="">
      <xdr:nvSpPr>
        <xdr:cNvPr id="14" name="CuadroTexto 13">
          <a:extLst>
            <a:ext uri="{FF2B5EF4-FFF2-40B4-BE49-F238E27FC236}">
              <a16:creationId xmlns:a16="http://schemas.microsoft.com/office/drawing/2014/main" id="{00000000-0008-0000-0700-00000E000000}"/>
            </a:ext>
          </a:extLst>
        </xdr:cNvPr>
        <xdr:cNvSpPr txBox="1"/>
      </xdr:nvSpPr>
      <xdr:spPr>
        <a:xfrm>
          <a:off x="5467350" y="17354551"/>
          <a:ext cx="361950" cy="2095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b</a:t>
          </a:r>
        </a:p>
      </xdr:txBody>
    </xdr:sp>
    <xdr:clientData/>
  </xdr:twoCellAnchor>
  <xdr:twoCellAnchor>
    <xdr:from>
      <xdr:col>5</xdr:col>
      <xdr:colOff>66674</xdr:colOff>
      <xdr:row>87</xdr:row>
      <xdr:rowOff>133349</xdr:rowOff>
    </xdr:from>
    <xdr:to>
      <xdr:col>6</xdr:col>
      <xdr:colOff>95249</xdr:colOff>
      <xdr:row>90</xdr:row>
      <xdr:rowOff>76200</xdr:rowOff>
    </xdr:to>
    <xdr:sp macro="" textlink="">
      <xdr:nvSpPr>
        <xdr:cNvPr id="7" name="Llamada con línea 1 6">
          <a:extLst>
            <a:ext uri="{FF2B5EF4-FFF2-40B4-BE49-F238E27FC236}">
              <a16:creationId xmlns:a16="http://schemas.microsoft.com/office/drawing/2014/main" id="{00000000-0008-0000-0700-000007000000}"/>
            </a:ext>
          </a:extLst>
        </xdr:cNvPr>
        <xdr:cNvSpPr/>
      </xdr:nvSpPr>
      <xdr:spPr>
        <a:xfrm>
          <a:off x="4352924" y="18630899"/>
          <a:ext cx="1009650" cy="514351"/>
        </a:xfrm>
        <a:prstGeom prst="borderCallout1">
          <a:avLst>
            <a:gd name="adj1" fmla="val -7917"/>
            <a:gd name="adj2" fmla="val 28154"/>
            <a:gd name="adj3" fmla="val -192686"/>
            <a:gd name="adj4" fmla="val 26972"/>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Canal de Entrada</a:t>
          </a:r>
        </a:p>
      </xdr:txBody>
    </xdr:sp>
    <xdr:clientData/>
  </xdr:twoCellAnchor>
  <xdr:twoCellAnchor>
    <xdr:from>
      <xdr:col>6</xdr:col>
      <xdr:colOff>133349</xdr:colOff>
      <xdr:row>87</xdr:row>
      <xdr:rowOff>142874</xdr:rowOff>
    </xdr:from>
    <xdr:to>
      <xdr:col>7</xdr:col>
      <xdr:colOff>266700</xdr:colOff>
      <xdr:row>90</xdr:row>
      <xdr:rowOff>85725</xdr:rowOff>
    </xdr:to>
    <xdr:sp macro="" textlink="">
      <xdr:nvSpPr>
        <xdr:cNvPr id="16" name="Llamada con línea 1 15">
          <a:extLst>
            <a:ext uri="{FF2B5EF4-FFF2-40B4-BE49-F238E27FC236}">
              <a16:creationId xmlns:a16="http://schemas.microsoft.com/office/drawing/2014/main" id="{00000000-0008-0000-0700-000010000000}"/>
            </a:ext>
          </a:extLst>
        </xdr:cNvPr>
        <xdr:cNvSpPr/>
      </xdr:nvSpPr>
      <xdr:spPr>
        <a:xfrm>
          <a:off x="5400674" y="18640424"/>
          <a:ext cx="895351" cy="514351"/>
        </a:xfrm>
        <a:prstGeom prst="borderCallout1">
          <a:avLst>
            <a:gd name="adj1" fmla="val -7917"/>
            <a:gd name="adj2" fmla="val 28154"/>
            <a:gd name="adj3" fmla="val -192686"/>
            <a:gd name="adj4" fmla="val 26972"/>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Compuertas</a:t>
          </a:r>
        </a:p>
      </xdr:txBody>
    </xdr:sp>
    <xdr:clientData/>
  </xdr:twoCellAnchor>
  <xdr:twoCellAnchor>
    <xdr:from>
      <xdr:col>7</xdr:col>
      <xdr:colOff>609599</xdr:colOff>
      <xdr:row>88</xdr:row>
      <xdr:rowOff>9524</xdr:rowOff>
    </xdr:from>
    <xdr:to>
      <xdr:col>8</xdr:col>
      <xdr:colOff>523875</xdr:colOff>
      <xdr:row>90</xdr:row>
      <xdr:rowOff>142875</xdr:rowOff>
    </xdr:to>
    <xdr:sp macro="" textlink="">
      <xdr:nvSpPr>
        <xdr:cNvPr id="17" name="Llamada con línea 1 16">
          <a:extLst>
            <a:ext uri="{FF2B5EF4-FFF2-40B4-BE49-F238E27FC236}">
              <a16:creationId xmlns:a16="http://schemas.microsoft.com/office/drawing/2014/main" id="{00000000-0008-0000-0700-000011000000}"/>
            </a:ext>
          </a:extLst>
        </xdr:cNvPr>
        <xdr:cNvSpPr/>
      </xdr:nvSpPr>
      <xdr:spPr>
        <a:xfrm>
          <a:off x="4895849" y="18697574"/>
          <a:ext cx="895351" cy="514351"/>
        </a:xfrm>
        <a:prstGeom prst="borderCallout1">
          <a:avLst>
            <a:gd name="adj1" fmla="val -7917"/>
            <a:gd name="adj2" fmla="val 28154"/>
            <a:gd name="adj3" fmla="val -159353"/>
            <a:gd name="adj4" fmla="val 25908"/>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Canal</a:t>
          </a:r>
          <a:r>
            <a:rPr lang="es-CR" sz="1100" baseline="0">
              <a:solidFill>
                <a:schemeClr val="tx1"/>
              </a:solidFill>
            </a:rPr>
            <a:t> lateral</a:t>
          </a:r>
          <a:endParaRPr lang="es-CR" sz="1100">
            <a:solidFill>
              <a:schemeClr val="tx1"/>
            </a:solidFill>
          </a:endParaRPr>
        </a:p>
      </xdr:txBody>
    </xdr:sp>
    <xdr:clientData/>
  </xdr:twoCellAnchor>
  <xdr:twoCellAnchor>
    <xdr:from>
      <xdr:col>9</xdr:col>
      <xdr:colOff>261094</xdr:colOff>
      <xdr:row>87</xdr:row>
      <xdr:rowOff>171449</xdr:rowOff>
    </xdr:from>
    <xdr:to>
      <xdr:col>10</xdr:col>
      <xdr:colOff>261095</xdr:colOff>
      <xdr:row>90</xdr:row>
      <xdr:rowOff>114300</xdr:rowOff>
    </xdr:to>
    <xdr:sp macro="" textlink="">
      <xdr:nvSpPr>
        <xdr:cNvPr id="18" name="Llamada con línea 1 17">
          <a:extLst>
            <a:ext uri="{FF2B5EF4-FFF2-40B4-BE49-F238E27FC236}">
              <a16:creationId xmlns:a16="http://schemas.microsoft.com/office/drawing/2014/main" id="{00000000-0008-0000-0700-000012000000}"/>
            </a:ext>
          </a:extLst>
        </xdr:cNvPr>
        <xdr:cNvSpPr/>
      </xdr:nvSpPr>
      <xdr:spPr>
        <a:xfrm>
          <a:off x="9360270" y="17708655"/>
          <a:ext cx="762001" cy="480733"/>
        </a:xfrm>
        <a:prstGeom prst="borderCallout1">
          <a:avLst>
            <a:gd name="adj1" fmla="val -7917"/>
            <a:gd name="adj2" fmla="val 28154"/>
            <a:gd name="adj3" fmla="val -205649"/>
            <a:gd name="adj4" fmla="val 25908"/>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Vertedero</a:t>
          </a:r>
        </a:p>
      </xdr:txBody>
    </xdr:sp>
    <xdr:clientData/>
  </xdr:twoCellAnchor>
  <xdr:twoCellAnchor>
    <xdr:from>
      <xdr:col>11</xdr:col>
      <xdr:colOff>400049</xdr:colOff>
      <xdr:row>87</xdr:row>
      <xdr:rowOff>180974</xdr:rowOff>
    </xdr:from>
    <xdr:to>
      <xdr:col>12</xdr:col>
      <xdr:colOff>400050</xdr:colOff>
      <xdr:row>90</xdr:row>
      <xdr:rowOff>123825</xdr:rowOff>
    </xdr:to>
    <xdr:sp macro="" textlink="">
      <xdr:nvSpPr>
        <xdr:cNvPr id="19" name="Llamada con línea 1 18">
          <a:extLst>
            <a:ext uri="{FF2B5EF4-FFF2-40B4-BE49-F238E27FC236}">
              <a16:creationId xmlns:a16="http://schemas.microsoft.com/office/drawing/2014/main" id="{00000000-0008-0000-0700-000013000000}"/>
            </a:ext>
          </a:extLst>
        </xdr:cNvPr>
        <xdr:cNvSpPr/>
      </xdr:nvSpPr>
      <xdr:spPr>
        <a:xfrm>
          <a:off x="7953374" y="18678524"/>
          <a:ext cx="762001" cy="514351"/>
        </a:xfrm>
        <a:prstGeom prst="borderCallout1">
          <a:avLst>
            <a:gd name="adj1" fmla="val -7917"/>
            <a:gd name="adj2" fmla="val 28154"/>
            <a:gd name="adj3" fmla="val -188982"/>
            <a:gd name="adj4" fmla="val 25908"/>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Canal</a:t>
          </a:r>
          <a:r>
            <a:rPr lang="es-CR" sz="1100" baseline="0">
              <a:solidFill>
                <a:schemeClr val="tx1"/>
              </a:solidFill>
            </a:rPr>
            <a:t> de Salida</a:t>
          </a:r>
          <a:endParaRPr lang="es-CR" sz="1100">
            <a:solidFill>
              <a:schemeClr val="tx1"/>
            </a:solidFill>
          </a:endParaRPr>
        </a:p>
      </xdr:txBody>
    </xdr:sp>
    <xdr:clientData/>
  </xdr:twoCellAnchor>
  <xdr:twoCellAnchor>
    <xdr:from>
      <xdr:col>6</xdr:col>
      <xdr:colOff>683559</xdr:colOff>
      <xdr:row>81</xdr:row>
      <xdr:rowOff>1680</xdr:rowOff>
    </xdr:from>
    <xdr:to>
      <xdr:col>8</xdr:col>
      <xdr:colOff>133350</xdr:colOff>
      <xdr:row>82</xdr:row>
      <xdr:rowOff>95250</xdr:rowOff>
    </xdr:to>
    <xdr:sp macro="" textlink="">
      <xdr:nvSpPr>
        <xdr:cNvPr id="20" name="Llamada con línea 1 19">
          <a:extLst>
            <a:ext uri="{FF2B5EF4-FFF2-40B4-BE49-F238E27FC236}">
              <a16:creationId xmlns:a16="http://schemas.microsoft.com/office/drawing/2014/main" id="{00000000-0008-0000-0700-000014000000}"/>
            </a:ext>
          </a:extLst>
        </xdr:cNvPr>
        <xdr:cNvSpPr/>
      </xdr:nvSpPr>
      <xdr:spPr>
        <a:xfrm>
          <a:off x="6925235" y="16463121"/>
          <a:ext cx="973791" cy="272864"/>
        </a:xfrm>
        <a:prstGeom prst="borderCallout1">
          <a:avLst>
            <a:gd name="adj1" fmla="val -7917"/>
            <a:gd name="adj2" fmla="val 28154"/>
            <a:gd name="adj3" fmla="val -9353"/>
            <a:gd name="adj4" fmla="val 2797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Desarenador</a:t>
          </a:r>
        </a:p>
      </xdr:txBody>
    </xdr:sp>
    <xdr:clientData/>
  </xdr:twoCellAnchor>
  <xdr:twoCellAnchor>
    <xdr:from>
      <xdr:col>8</xdr:col>
      <xdr:colOff>476249</xdr:colOff>
      <xdr:row>81</xdr:row>
      <xdr:rowOff>1680</xdr:rowOff>
    </xdr:from>
    <xdr:to>
      <xdr:col>9</xdr:col>
      <xdr:colOff>100853</xdr:colOff>
      <xdr:row>82</xdr:row>
      <xdr:rowOff>95250</xdr:rowOff>
    </xdr:to>
    <xdr:sp macro="" textlink="">
      <xdr:nvSpPr>
        <xdr:cNvPr id="22" name="Llamada con línea 1 21">
          <a:extLst>
            <a:ext uri="{FF2B5EF4-FFF2-40B4-BE49-F238E27FC236}">
              <a16:creationId xmlns:a16="http://schemas.microsoft.com/office/drawing/2014/main" id="{00000000-0008-0000-0700-000016000000}"/>
            </a:ext>
          </a:extLst>
        </xdr:cNvPr>
        <xdr:cNvSpPr/>
      </xdr:nvSpPr>
      <xdr:spPr>
        <a:xfrm>
          <a:off x="8241925" y="16463121"/>
          <a:ext cx="958104" cy="272864"/>
        </a:xfrm>
        <a:prstGeom prst="borderCallout1">
          <a:avLst>
            <a:gd name="adj1" fmla="val -7917"/>
            <a:gd name="adj2" fmla="val 28154"/>
            <a:gd name="adj3" fmla="val -9353"/>
            <a:gd name="adj4" fmla="val 2797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Desarenador</a:t>
          </a:r>
        </a:p>
      </xdr:txBody>
    </xdr:sp>
    <xdr:clientData/>
  </xdr:twoCellAnchor>
  <xdr:twoCellAnchor editAs="oneCell">
    <xdr:from>
      <xdr:col>12</xdr:col>
      <xdr:colOff>619124</xdr:colOff>
      <xdr:row>77</xdr:row>
      <xdr:rowOff>9525</xdr:rowOff>
    </xdr:from>
    <xdr:to>
      <xdr:col>20</xdr:col>
      <xdr:colOff>472741</xdr:colOff>
      <xdr:row>87</xdr:row>
      <xdr:rowOff>16809</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rotWithShape="1">
        <a:blip xmlns:r="http://schemas.openxmlformats.org/officeDocument/2006/relationships" r:embed="rId4"/>
        <a:srcRect l="12413" t="35641" r="45049" b="40323"/>
        <a:stretch/>
      </xdr:blipFill>
      <xdr:spPr>
        <a:xfrm>
          <a:off x="8934449" y="16602075"/>
          <a:ext cx="5663867" cy="1800225"/>
        </a:xfrm>
        <a:prstGeom prst="rect">
          <a:avLst/>
        </a:prstGeom>
      </xdr:spPr>
    </xdr:pic>
    <xdr:clientData/>
  </xdr:twoCellAnchor>
  <xdr:twoCellAnchor>
    <xdr:from>
      <xdr:col>12</xdr:col>
      <xdr:colOff>723900</xdr:colOff>
      <xdr:row>81</xdr:row>
      <xdr:rowOff>38101</xdr:rowOff>
    </xdr:from>
    <xdr:to>
      <xdr:col>13</xdr:col>
      <xdr:colOff>276225</xdr:colOff>
      <xdr:row>82</xdr:row>
      <xdr:rowOff>104775</xdr:rowOff>
    </xdr:to>
    <xdr:sp macro="" textlink="">
      <xdr:nvSpPr>
        <xdr:cNvPr id="24" name="CuadroTexto 23">
          <a:extLst>
            <a:ext uri="{FF2B5EF4-FFF2-40B4-BE49-F238E27FC236}">
              <a16:creationId xmlns:a16="http://schemas.microsoft.com/office/drawing/2014/main" id="{00000000-0008-0000-0700-000018000000}"/>
            </a:ext>
          </a:extLst>
        </xdr:cNvPr>
        <xdr:cNvSpPr txBox="1"/>
      </xdr:nvSpPr>
      <xdr:spPr>
        <a:xfrm>
          <a:off x="9039225" y="17392651"/>
          <a:ext cx="314325" cy="257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h</a:t>
          </a:r>
        </a:p>
      </xdr:txBody>
    </xdr:sp>
    <xdr:clientData/>
  </xdr:twoCellAnchor>
  <xdr:twoCellAnchor>
    <xdr:from>
      <xdr:col>19</xdr:col>
      <xdr:colOff>152400</xdr:colOff>
      <xdr:row>77</xdr:row>
      <xdr:rowOff>47626</xdr:rowOff>
    </xdr:from>
    <xdr:to>
      <xdr:col>19</xdr:col>
      <xdr:colOff>438150</xdr:colOff>
      <xdr:row>78</xdr:row>
      <xdr:rowOff>114300</xdr:rowOff>
    </xdr:to>
    <xdr:sp macro="" textlink="">
      <xdr:nvSpPr>
        <xdr:cNvPr id="25" name="CuadroTexto 24">
          <a:extLst>
            <a:ext uri="{FF2B5EF4-FFF2-40B4-BE49-F238E27FC236}">
              <a16:creationId xmlns:a16="http://schemas.microsoft.com/office/drawing/2014/main" id="{00000000-0008-0000-0700-000019000000}"/>
            </a:ext>
          </a:extLst>
        </xdr:cNvPr>
        <xdr:cNvSpPr txBox="1"/>
      </xdr:nvSpPr>
      <xdr:spPr>
        <a:xfrm>
          <a:off x="15039975" y="16640176"/>
          <a:ext cx="285750" cy="25717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R" sz="1200"/>
            <a:t>b</a:t>
          </a:r>
        </a:p>
      </xdr:txBody>
    </xdr:sp>
    <xdr:clientData/>
  </xdr:twoCellAnchor>
  <xdr:twoCellAnchor>
    <xdr:from>
      <xdr:col>15</xdr:col>
      <xdr:colOff>123824</xdr:colOff>
      <xdr:row>81</xdr:row>
      <xdr:rowOff>9524</xdr:rowOff>
    </xdr:from>
    <xdr:to>
      <xdr:col>16</xdr:col>
      <xdr:colOff>285750</xdr:colOff>
      <xdr:row>82</xdr:row>
      <xdr:rowOff>104775</xdr:rowOff>
    </xdr:to>
    <xdr:sp macro="" textlink="">
      <xdr:nvSpPr>
        <xdr:cNvPr id="26" name="Llamada con línea 1 25">
          <a:extLst>
            <a:ext uri="{FF2B5EF4-FFF2-40B4-BE49-F238E27FC236}">
              <a16:creationId xmlns:a16="http://schemas.microsoft.com/office/drawing/2014/main" id="{00000000-0008-0000-0700-00001A000000}"/>
            </a:ext>
          </a:extLst>
        </xdr:cNvPr>
        <xdr:cNvSpPr/>
      </xdr:nvSpPr>
      <xdr:spPr>
        <a:xfrm>
          <a:off x="10725149" y="17364074"/>
          <a:ext cx="923926" cy="285751"/>
        </a:xfrm>
        <a:prstGeom prst="borderCallout1">
          <a:avLst>
            <a:gd name="adj1" fmla="val -7917"/>
            <a:gd name="adj2" fmla="val 28154"/>
            <a:gd name="adj3" fmla="val -9353"/>
            <a:gd name="adj4" fmla="val 2797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Desarenador</a:t>
          </a:r>
        </a:p>
      </xdr:txBody>
    </xdr:sp>
    <xdr:clientData/>
  </xdr:twoCellAnchor>
  <xdr:twoCellAnchor>
    <xdr:from>
      <xdr:col>13</xdr:col>
      <xdr:colOff>504824</xdr:colOff>
      <xdr:row>87</xdr:row>
      <xdr:rowOff>161924</xdr:rowOff>
    </xdr:from>
    <xdr:to>
      <xdr:col>14</xdr:col>
      <xdr:colOff>533399</xdr:colOff>
      <xdr:row>90</xdr:row>
      <xdr:rowOff>104775</xdr:rowOff>
    </xdr:to>
    <xdr:sp macro="" textlink="">
      <xdr:nvSpPr>
        <xdr:cNvPr id="27" name="Llamada con línea 1 26">
          <a:extLst>
            <a:ext uri="{FF2B5EF4-FFF2-40B4-BE49-F238E27FC236}">
              <a16:creationId xmlns:a16="http://schemas.microsoft.com/office/drawing/2014/main" id="{00000000-0008-0000-0700-00001B000000}"/>
            </a:ext>
          </a:extLst>
        </xdr:cNvPr>
        <xdr:cNvSpPr/>
      </xdr:nvSpPr>
      <xdr:spPr>
        <a:xfrm>
          <a:off x="9582149" y="18659474"/>
          <a:ext cx="790575" cy="514351"/>
        </a:xfrm>
        <a:prstGeom prst="borderCallout1">
          <a:avLst>
            <a:gd name="adj1" fmla="val -7917"/>
            <a:gd name="adj2" fmla="val 28154"/>
            <a:gd name="adj3" fmla="val -144538"/>
            <a:gd name="adj4" fmla="val 28177"/>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Entrada</a:t>
          </a:r>
        </a:p>
      </xdr:txBody>
    </xdr:sp>
    <xdr:clientData/>
  </xdr:twoCellAnchor>
  <xdr:twoCellAnchor>
    <xdr:from>
      <xdr:col>16</xdr:col>
      <xdr:colOff>523874</xdr:colOff>
      <xdr:row>87</xdr:row>
      <xdr:rowOff>152399</xdr:rowOff>
    </xdr:from>
    <xdr:to>
      <xdr:col>17</xdr:col>
      <xdr:colOff>552449</xdr:colOff>
      <xdr:row>90</xdr:row>
      <xdr:rowOff>95250</xdr:rowOff>
    </xdr:to>
    <xdr:sp macro="" textlink="">
      <xdr:nvSpPr>
        <xdr:cNvPr id="28" name="Llamada con línea 1 27">
          <a:extLst>
            <a:ext uri="{FF2B5EF4-FFF2-40B4-BE49-F238E27FC236}">
              <a16:creationId xmlns:a16="http://schemas.microsoft.com/office/drawing/2014/main" id="{00000000-0008-0000-0700-00001C000000}"/>
            </a:ext>
          </a:extLst>
        </xdr:cNvPr>
        <xdr:cNvSpPr/>
      </xdr:nvSpPr>
      <xdr:spPr>
        <a:xfrm>
          <a:off x="11887199" y="18649949"/>
          <a:ext cx="790575" cy="514351"/>
        </a:xfrm>
        <a:prstGeom prst="borderCallout1">
          <a:avLst>
            <a:gd name="adj1" fmla="val -6065"/>
            <a:gd name="adj2" fmla="val 92009"/>
            <a:gd name="adj3" fmla="val -92686"/>
            <a:gd name="adj4" fmla="val 90828"/>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Salida</a:t>
          </a:r>
        </a:p>
      </xdr:txBody>
    </xdr:sp>
    <xdr:clientData/>
  </xdr:twoCellAnchor>
  <xdr:twoCellAnchor>
    <xdr:from>
      <xdr:col>19</xdr:col>
      <xdr:colOff>176082</xdr:colOff>
      <xdr:row>79</xdr:row>
      <xdr:rowOff>143201</xdr:rowOff>
    </xdr:from>
    <xdr:to>
      <xdr:col>19</xdr:col>
      <xdr:colOff>423498</xdr:colOff>
      <xdr:row>84</xdr:row>
      <xdr:rowOff>114627</xdr:rowOff>
    </xdr:to>
    <xdr:sp macro="" textlink="">
      <xdr:nvSpPr>
        <xdr:cNvPr id="29" name="Llamada con línea 1 28">
          <a:extLst>
            <a:ext uri="{FF2B5EF4-FFF2-40B4-BE49-F238E27FC236}">
              <a16:creationId xmlns:a16="http://schemas.microsoft.com/office/drawing/2014/main" id="{00000000-0008-0000-0700-00001D000000}"/>
            </a:ext>
          </a:extLst>
        </xdr:cNvPr>
        <xdr:cNvSpPr/>
      </xdr:nvSpPr>
      <xdr:spPr>
        <a:xfrm rot="18596895">
          <a:off x="14725402" y="17455006"/>
          <a:ext cx="923926" cy="247416"/>
        </a:xfrm>
        <a:prstGeom prst="borderCallout1">
          <a:avLst>
            <a:gd name="adj1" fmla="val -7917"/>
            <a:gd name="adj2" fmla="val 28154"/>
            <a:gd name="adj3" fmla="val -9353"/>
            <a:gd name="adj4" fmla="val 27970"/>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Desarenador</a:t>
          </a:r>
        </a:p>
      </xdr:txBody>
    </xdr:sp>
    <xdr:clientData/>
  </xdr:twoCellAnchor>
  <xdr:twoCellAnchor>
    <xdr:from>
      <xdr:col>18</xdr:col>
      <xdr:colOff>590549</xdr:colOff>
      <xdr:row>87</xdr:row>
      <xdr:rowOff>133349</xdr:rowOff>
    </xdr:from>
    <xdr:to>
      <xdr:col>20</xdr:col>
      <xdr:colOff>142874</xdr:colOff>
      <xdr:row>90</xdr:row>
      <xdr:rowOff>76200</xdr:rowOff>
    </xdr:to>
    <xdr:sp macro="" textlink="">
      <xdr:nvSpPr>
        <xdr:cNvPr id="30" name="Llamada con línea 1 29">
          <a:extLst>
            <a:ext uri="{FF2B5EF4-FFF2-40B4-BE49-F238E27FC236}">
              <a16:creationId xmlns:a16="http://schemas.microsoft.com/office/drawing/2014/main" id="{00000000-0008-0000-0700-00001E000000}"/>
            </a:ext>
          </a:extLst>
        </xdr:cNvPr>
        <xdr:cNvSpPr/>
      </xdr:nvSpPr>
      <xdr:spPr>
        <a:xfrm>
          <a:off x="13477874" y="18630899"/>
          <a:ext cx="790575" cy="514351"/>
        </a:xfrm>
        <a:prstGeom prst="borderCallout1">
          <a:avLst>
            <a:gd name="adj1" fmla="val -6065"/>
            <a:gd name="adj2" fmla="val 92009"/>
            <a:gd name="adj3" fmla="val -214908"/>
            <a:gd name="adj4" fmla="val 90828"/>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CR" sz="1100">
              <a:solidFill>
                <a:schemeClr val="tx1"/>
              </a:solidFill>
            </a:rPr>
            <a:t>Canal</a:t>
          </a:r>
          <a:r>
            <a:rPr lang="es-CR" sz="1100" baseline="0">
              <a:solidFill>
                <a:schemeClr val="tx1"/>
              </a:solidFill>
            </a:rPr>
            <a:t>  Lateral</a:t>
          </a:r>
          <a:endParaRPr lang="es-CR"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12</xdr:col>
          <xdr:colOff>123825</xdr:colOff>
          <xdr:row>3</xdr:row>
          <xdr:rowOff>0</xdr:rowOff>
        </xdr:from>
        <xdr:to>
          <xdr:col>14</xdr:col>
          <xdr:colOff>19050</xdr:colOff>
          <xdr:row>6</xdr:row>
          <xdr:rowOff>114300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700-0000061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s-CR" sz="1800" b="1" i="0" u="none" strike="noStrike" baseline="0">
                  <a:solidFill>
                    <a:srgbClr val="000000"/>
                  </a:solidFill>
                  <a:latin typeface="Aral"/>
                </a:rPr>
                <a:t>Calcular</a:t>
              </a:r>
            </a:p>
          </xdr:txBody>
        </xdr:sp>
        <xdr:clientData fPrintsWithSheet="0"/>
      </xdr:twoCellAnchor>
    </mc:Choice>
    <mc:Fallback/>
  </mc:AlternateContent>
  <xdr:twoCellAnchor editAs="oneCell">
    <xdr:from>
      <xdr:col>20</xdr:col>
      <xdr:colOff>750794</xdr:colOff>
      <xdr:row>1</xdr:row>
      <xdr:rowOff>67235</xdr:rowOff>
    </xdr:from>
    <xdr:to>
      <xdr:col>24</xdr:col>
      <xdr:colOff>54397</xdr:colOff>
      <xdr:row>3</xdr:row>
      <xdr:rowOff>367515</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5"/>
        <a:stretch>
          <a:fillRect/>
        </a:stretch>
      </xdr:blipFill>
      <xdr:spPr>
        <a:xfrm>
          <a:off x="17951823" y="470647"/>
          <a:ext cx="2351603" cy="101745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552450</xdr:colOff>
      <xdr:row>28</xdr:row>
      <xdr:rowOff>147200</xdr:rowOff>
    </xdr:from>
    <xdr:to>
      <xdr:col>10</xdr:col>
      <xdr:colOff>523875</xdr:colOff>
      <xdr:row>34</xdr:row>
      <xdr:rowOff>195460</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duotone>
            <a:prstClr val="black"/>
            <a:schemeClr val="tx1">
              <a:lumMod val="95000"/>
              <a:lumOff val="5000"/>
              <a:tint val="45000"/>
              <a:satMod val="400000"/>
            </a:schemeClr>
          </a:duotone>
        </a:blip>
        <a:stretch>
          <a:fillRect/>
        </a:stretch>
      </xdr:blipFill>
      <xdr:spPr>
        <a:xfrm>
          <a:off x="3781425" y="5928875"/>
          <a:ext cx="5657850" cy="1362710"/>
        </a:xfrm>
        <a:prstGeom prst="rect">
          <a:avLst/>
        </a:prstGeom>
      </xdr:spPr>
    </xdr:pic>
    <xdr:clientData/>
  </xdr:twoCellAnchor>
  <mc:AlternateContent xmlns:mc="http://schemas.openxmlformats.org/markup-compatibility/2006">
    <mc:Choice xmlns:a14="http://schemas.microsoft.com/office/drawing/2010/main" Requires="a14">
      <xdr:twoCellAnchor>
        <xdr:from>
          <xdr:col>4</xdr:col>
          <xdr:colOff>171450</xdr:colOff>
          <xdr:row>1</xdr:row>
          <xdr:rowOff>161925</xdr:rowOff>
        </xdr:from>
        <xdr:to>
          <xdr:col>6</xdr:col>
          <xdr:colOff>66675</xdr:colOff>
          <xdr:row>4</xdr:row>
          <xdr:rowOff>85725</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800-0000011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es-CR" sz="1800" b="1" i="0" u="none" strike="noStrike" baseline="0">
                  <a:solidFill>
                    <a:srgbClr val="000000"/>
                  </a:solidFill>
                  <a:latin typeface="Arial"/>
                  <a:cs typeface="Arial"/>
                </a:rPr>
                <a:t>Calcular</a:t>
              </a:r>
            </a:p>
          </xdr:txBody>
        </xdr:sp>
        <xdr:clientData fPrintsWithSheet="0"/>
      </xdr:twoCellAnchor>
    </mc:Choice>
    <mc:Fallback/>
  </mc:AlternateContent>
  <xdr:twoCellAnchor>
    <xdr:from>
      <xdr:col>4</xdr:col>
      <xdr:colOff>152400</xdr:colOff>
      <xdr:row>39</xdr:row>
      <xdr:rowOff>100011</xdr:rowOff>
    </xdr:from>
    <xdr:to>
      <xdr:col>17</xdr:col>
      <xdr:colOff>152400</xdr:colOff>
      <xdr:row>52</xdr:row>
      <xdr:rowOff>76200</xdr:rowOff>
    </xdr:to>
    <xdr:graphicFrame macro="">
      <xdr:nvGraphicFramePr>
        <xdr:cNvPr id="3" name="Gráfico 2">
          <a:extLst>
            <a:ext uri="{FF2B5EF4-FFF2-40B4-BE49-F238E27FC236}">
              <a16:creationId xmlns:a16="http://schemas.microsoft.com/office/drawing/2014/main" id="{00000000-0008-0000-0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11</xdr:col>
      <xdr:colOff>733425</xdr:colOff>
      <xdr:row>1</xdr:row>
      <xdr:rowOff>38100</xdr:rowOff>
    </xdr:from>
    <xdr:to>
      <xdr:col>15</xdr:col>
      <xdr:colOff>37028</xdr:colOff>
      <xdr:row>5</xdr:row>
      <xdr:rowOff>150681</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10410825" y="457200"/>
          <a:ext cx="2351603" cy="1017456"/>
        </a:xfrm>
        <a:prstGeom prst="rect">
          <a:avLst/>
        </a:prstGeom>
      </xdr:spPr>
    </xdr:pic>
    <xdr:clientData/>
  </xdr:twoCellAnchor>
  <xdr:twoCellAnchor editAs="oneCell">
    <xdr:from>
      <xdr:col>4</xdr:col>
      <xdr:colOff>57150</xdr:colOff>
      <xdr:row>53</xdr:row>
      <xdr:rowOff>95250</xdr:rowOff>
    </xdr:from>
    <xdr:to>
      <xdr:col>7</xdr:col>
      <xdr:colOff>122753</xdr:colOff>
      <xdr:row>59</xdr:row>
      <xdr:rowOff>26856</xdr:rowOff>
    </xdr:to>
    <xdr:pic>
      <xdr:nvPicPr>
        <xdr:cNvPr id="5" name="Imagen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3"/>
        <a:stretch>
          <a:fillRect/>
        </a:stretch>
      </xdr:blipFill>
      <xdr:spPr>
        <a:xfrm>
          <a:off x="4048125" y="10963275"/>
          <a:ext cx="2351603" cy="101745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8</xdr:col>
      <xdr:colOff>361949</xdr:colOff>
      <xdr:row>1</xdr:row>
      <xdr:rowOff>85725</xdr:rowOff>
    </xdr:from>
    <xdr:to>
      <xdr:col>15</xdr:col>
      <xdr:colOff>8079</xdr:colOff>
      <xdr:row>12</xdr:row>
      <xdr:rowOff>162983</xdr:rowOff>
    </xdr:to>
    <xdr:pic>
      <xdr:nvPicPr>
        <xdr:cNvPr id="38" name="Imagen 37">
          <a:extLst>
            <a:ext uri="{FF2B5EF4-FFF2-40B4-BE49-F238E27FC236}">
              <a16:creationId xmlns:a16="http://schemas.microsoft.com/office/drawing/2014/main" id="{00000000-0008-0000-0900-000026000000}"/>
            </a:ext>
          </a:extLst>
        </xdr:cNvPr>
        <xdr:cNvPicPr>
          <a:picLocks noChangeAspect="1"/>
        </xdr:cNvPicPr>
      </xdr:nvPicPr>
      <xdr:blipFill>
        <a:blip xmlns:r="http://schemas.openxmlformats.org/officeDocument/2006/relationships" r:embed="rId1">
          <a:duotone>
            <a:prstClr val="black"/>
            <a:schemeClr val="tx1">
              <a:tint val="45000"/>
              <a:satMod val="400000"/>
            </a:schemeClr>
          </a:duotone>
        </a:blip>
        <a:stretch>
          <a:fillRect/>
        </a:stretch>
      </xdr:blipFill>
      <xdr:spPr>
        <a:xfrm>
          <a:off x="8372474" y="523875"/>
          <a:ext cx="5808805" cy="2447925"/>
        </a:xfrm>
        <a:prstGeom prst="rect">
          <a:avLst/>
        </a:prstGeom>
      </xdr:spPr>
    </xdr:pic>
    <xdr:clientData/>
  </xdr:twoCellAnchor>
  <xdr:twoCellAnchor editAs="oneCell">
    <xdr:from>
      <xdr:col>5</xdr:col>
      <xdr:colOff>57150</xdr:colOff>
      <xdr:row>24</xdr:row>
      <xdr:rowOff>171450</xdr:rowOff>
    </xdr:from>
    <xdr:to>
      <xdr:col>5</xdr:col>
      <xdr:colOff>1457325</xdr:colOff>
      <xdr:row>24</xdr:row>
      <xdr:rowOff>514350</xdr:rowOff>
    </xdr:to>
    <xdr:pic>
      <xdr:nvPicPr>
        <xdr:cNvPr id="40" name="Imagen 39">
          <a:extLst>
            <a:ext uri="{FF2B5EF4-FFF2-40B4-BE49-F238E27FC236}">
              <a16:creationId xmlns:a16="http://schemas.microsoft.com/office/drawing/2014/main" id="{00000000-0008-0000-0900-000028000000}"/>
            </a:ext>
          </a:extLst>
        </xdr:cNvPr>
        <xdr:cNvPicPr>
          <a:picLocks noChangeAspect="1" noChangeArrowheads="1"/>
        </xdr:cNvPicPr>
      </xdr:nvPicPr>
      <xdr:blipFill>
        <a:blip xmlns:r="http://schemas.openxmlformats.org/officeDocument/2006/relationships" r:embed="rId2">
          <a:duotone>
            <a:prstClr val="black"/>
            <a:schemeClr val="tx1">
              <a:tint val="45000"/>
              <a:satMod val="400000"/>
            </a:schemeClr>
          </a:duotone>
          <a:extLst>
            <a:ext uri="{28A0092B-C50C-407E-A947-70E740481C1C}">
              <a14:useLocalDpi xmlns:a14="http://schemas.microsoft.com/office/drawing/2010/main" val="0"/>
            </a:ext>
          </a:extLst>
        </a:blip>
        <a:srcRect/>
        <a:stretch>
          <a:fillRect/>
        </a:stretch>
      </xdr:blipFill>
      <xdr:spPr bwMode="auto">
        <a:xfrm>
          <a:off x="4095750" y="3800475"/>
          <a:ext cx="1400175" cy="342900"/>
        </a:xfrm>
        <a:prstGeom prst="rect">
          <a:avLst/>
        </a:prstGeom>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66675</xdr:colOff>
      <xdr:row>24</xdr:row>
      <xdr:rowOff>9525</xdr:rowOff>
    </xdr:from>
    <xdr:to>
      <xdr:col>13</xdr:col>
      <xdr:colOff>1253171</xdr:colOff>
      <xdr:row>24</xdr:row>
      <xdr:rowOff>561975</xdr:rowOff>
    </xdr:to>
    <xdr:pic>
      <xdr:nvPicPr>
        <xdr:cNvPr id="41" name="Imagen 40">
          <a:extLst>
            <a:ext uri="{FF2B5EF4-FFF2-40B4-BE49-F238E27FC236}">
              <a16:creationId xmlns:a16="http://schemas.microsoft.com/office/drawing/2014/main" id="{00000000-0008-0000-0900-000029000000}"/>
            </a:ext>
          </a:extLst>
        </xdr:cNvPr>
        <xdr:cNvPicPr>
          <a:picLocks noChangeAspect="1"/>
        </xdr:cNvPicPr>
      </xdr:nvPicPr>
      <xdr:blipFill>
        <a:blip xmlns:r="http://schemas.openxmlformats.org/officeDocument/2006/relationships" r:embed="rId3">
          <a:duotone>
            <a:prstClr val="black"/>
            <a:schemeClr val="tx1">
              <a:tint val="45000"/>
              <a:satMod val="400000"/>
            </a:schemeClr>
          </a:duotone>
        </a:blip>
        <a:stretch>
          <a:fillRect/>
        </a:stretch>
      </xdr:blipFill>
      <xdr:spPr>
        <a:xfrm>
          <a:off x="11191875" y="3638550"/>
          <a:ext cx="1186496" cy="552450"/>
        </a:xfrm>
        <a:prstGeom prst="rect">
          <a:avLst/>
        </a:prstGeom>
      </xdr:spPr>
    </xdr:pic>
    <xdr:clientData/>
  </xdr:twoCellAnchor>
  <xdr:twoCellAnchor editAs="oneCell">
    <xdr:from>
      <xdr:col>8</xdr:col>
      <xdr:colOff>419100</xdr:colOff>
      <xdr:row>14</xdr:row>
      <xdr:rowOff>0</xdr:rowOff>
    </xdr:from>
    <xdr:to>
      <xdr:col>13</xdr:col>
      <xdr:colOff>810749</xdr:colOff>
      <xdr:row>22</xdr:row>
      <xdr:rowOff>97414</xdr:rowOff>
    </xdr:to>
    <xdr:pic>
      <xdr:nvPicPr>
        <xdr:cNvPr id="42" name="Imagen 41">
          <a:extLst>
            <a:ext uri="{FF2B5EF4-FFF2-40B4-BE49-F238E27FC236}">
              <a16:creationId xmlns:a16="http://schemas.microsoft.com/office/drawing/2014/main" id="{00000000-0008-0000-0900-00002A000000}"/>
            </a:ext>
          </a:extLst>
        </xdr:cNvPr>
        <xdr:cNvPicPr>
          <a:picLocks noChangeAspect="1"/>
        </xdr:cNvPicPr>
      </xdr:nvPicPr>
      <xdr:blipFill rotWithShape="1">
        <a:blip xmlns:r="http://schemas.openxmlformats.org/officeDocument/2006/relationships" r:embed="rId4">
          <a:duotone>
            <a:prstClr val="black"/>
            <a:schemeClr val="tx1">
              <a:tint val="45000"/>
              <a:satMod val="400000"/>
            </a:schemeClr>
          </a:duotone>
        </a:blip>
        <a:srcRect l="1807" t="6697" r="2992" b="6136"/>
        <a:stretch/>
      </xdr:blipFill>
      <xdr:spPr>
        <a:xfrm>
          <a:off x="8429625" y="3000375"/>
          <a:ext cx="4458824" cy="1754764"/>
        </a:xfrm>
        <a:prstGeom prst="rect">
          <a:avLst/>
        </a:prstGeom>
      </xdr:spPr>
    </xdr:pic>
    <xdr:clientData/>
  </xdr:twoCellAnchor>
  <mc:AlternateContent xmlns:mc="http://schemas.openxmlformats.org/markup-compatibility/2006">
    <mc:Choice xmlns:a14="http://schemas.microsoft.com/office/drawing/2010/main" Requires="a14">
      <xdr:twoCellAnchor>
        <xdr:from>
          <xdr:col>5</xdr:col>
          <xdr:colOff>142875</xdr:colOff>
          <xdr:row>15</xdr:row>
          <xdr:rowOff>180975</xdr:rowOff>
        </xdr:from>
        <xdr:to>
          <xdr:col>6</xdr:col>
          <xdr:colOff>676275</xdr:colOff>
          <xdr:row>18</xdr:row>
          <xdr:rowOff>161925</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900-000001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s-CR" sz="1800" b="1" i="0" u="none" strike="noStrike" baseline="0">
                  <a:solidFill>
                    <a:srgbClr val="000000"/>
                  </a:solidFill>
                  <a:latin typeface="Calibri"/>
                  <a:cs typeface="Calibri"/>
                </a:rPr>
                <a:t>Calcular</a:t>
              </a:r>
            </a:p>
          </xdr:txBody>
        </xdr:sp>
        <xdr:clientData fPrintsWithSheet="0"/>
      </xdr:twoCellAnchor>
    </mc:Choice>
    <mc:Fallback/>
  </mc:AlternateContent>
  <xdr:twoCellAnchor editAs="oneCell">
    <xdr:from>
      <xdr:col>15</xdr:col>
      <xdr:colOff>370417</xdr:colOff>
      <xdr:row>1</xdr:row>
      <xdr:rowOff>126999</xdr:rowOff>
    </xdr:from>
    <xdr:to>
      <xdr:col>17</xdr:col>
      <xdr:colOff>996936</xdr:colOff>
      <xdr:row>5</xdr:row>
      <xdr:rowOff>43789</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5"/>
        <a:stretch>
          <a:fillRect/>
        </a:stretch>
      </xdr:blipFill>
      <xdr:spPr>
        <a:xfrm>
          <a:off x="14541500" y="560916"/>
          <a:ext cx="2351603" cy="1017456"/>
        </a:xfrm>
        <a:prstGeom prst="rect">
          <a:avLst/>
        </a:prstGeom>
      </xdr:spPr>
    </xdr:pic>
    <xdr:clientData/>
  </xdr:twoCellAnchor>
  <xdr:twoCellAnchor editAs="oneCell">
    <xdr:from>
      <xdr:col>5</xdr:col>
      <xdr:colOff>1407584</xdr:colOff>
      <xdr:row>73</xdr:row>
      <xdr:rowOff>158750</xdr:rowOff>
    </xdr:from>
    <xdr:to>
      <xdr:col>8</xdr:col>
      <xdr:colOff>287854</xdr:colOff>
      <xdr:row>79</xdr:row>
      <xdr:rowOff>96706</xdr:rowOff>
    </xdr:to>
    <xdr:pic>
      <xdr:nvPicPr>
        <xdr:cNvPr id="3" name="Imagen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5"/>
        <a:stretch>
          <a:fillRect/>
        </a:stretch>
      </xdr:blipFill>
      <xdr:spPr>
        <a:xfrm>
          <a:off x="5947834" y="14816667"/>
          <a:ext cx="2351603" cy="10174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youtu.be/T-PUV9QRrRw"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7" Type="http://schemas.openxmlformats.org/officeDocument/2006/relationships/comments" Target="../comments3.xml"/><Relationship Id="rId2" Type="http://schemas.openxmlformats.org/officeDocument/2006/relationships/printerSettings" Target="../printerSettings/printerSettings3.bin"/><Relationship Id="rId1" Type="http://schemas.openxmlformats.org/officeDocument/2006/relationships/hyperlink" Target="https://youtu.be/T-PUV9QRrRw" TargetMode="External"/><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4.vml"/><Relationship Id="rId7"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8.xml"/><Relationship Id="rId11" Type="http://schemas.openxmlformats.org/officeDocument/2006/relationships/comments" Target="../comments4.xml"/><Relationship Id="rId5" Type="http://schemas.openxmlformats.org/officeDocument/2006/relationships/ctrlProp" Target="../ctrlProps/ctrlProp7.xml"/><Relationship Id="rId10" Type="http://schemas.openxmlformats.org/officeDocument/2006/relationships/ctrlProp" Target="../ctrlProps/ctrlProp12.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4.xml"/><Relationship Id="rId2" Type="http://schemas.openxmlformats.org/officeDocument/2006/relationships/vmlDrawing" Target="../drawings/vmlDrawing6.vml"/><Relationship Id="rId1" Type="http://schemas.openxmlformats.org/officeDocument/2006/relationships/drawing" Target="../drawings/drawing8.xml"/><Relationship Id="rId4" Type="http://schemas.openxmlformats.org/officeDocument/2006/relationships/comments" Target="../comments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trlProp" Target="../ctrlProps/ctrlProp15.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8.vml"/><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7A8B9-F5B5-46AE-9339-CB8094744338}">
  <sheetPr codeName="Hoja10"/>
  <dimension ref="B1:R41"/>
  <sheetViews>
    <sheetView tabSelected="1" workbookViewId="0">
      <selection activeCell="L1" sqref="L1"/>
    </sheetView>
  </sheetViews>
  <sheetFormatPr baseColWidth="10" defaultColWidth="11.42578125" defaultRowHeight="14.25"/>
  <cols>
    <col min="1" max="16384" width="11.42578125" style="21"/>
  </cols>
  <sheetData>
    <row r="1" spans="2:18" ht="33.75" customHeight="1">
      <c r="B1" s="245" t="s">
        <v>0</v>
      </c>
      <c r="C1" s="245"/>
      <c r="D1" s="245"/>
      <c r="E1" s="245"/>
      <c r="F1" s="245"/>
      <c r="G1" s="245"/>
      <c r="H1" s="245"/>
      <c r="I1" s="245"/>
    </row>
    <row r="2" spans="2:18" ht="15" customHeight="1">
      <c r="B2" s="245"/>
      <c r="C2" s="245"/>
      <c r="D2" s="245"/>
      <c r="E2" s="245"/>
      <c r="F2" s="245"/>
      <c r="G2" s="245"/>
      <c r="H2" s="245"/>
      <c r="I2" s="245"/>
    </row>
    <row r="3" spans="2:18" ht="14.25" customHeight="1">
      <c r="B3" s="239" t="s">
        <v>1</v>
      </c>
      <c r="C3" s="237"/>
      <c r="D3" s="237"/>
      <c r="E3" s="237"/>
      <c r="F3" s="237"/>
      <c r="G3" s="237"/>
      <c r="H3" s="237"/>
      <c r="I3" s="237"/>
    </row>
    <row r="4" spans="2:18" ht="5.25" customHeight="1" thickBot="1">
      <c r="B4" s="238"/>
      <c r="C4" s="238"/>
      <c r="D4" s="238"/>
      <c r="E4" s="238"/>
      <c r="F4" s="238"/>
      <c r="G4" s="238"/>
      <c r="H4" s="238"/>
      <c r="I4" s="238"/>
      <c r="J4" s="41"/>
      <c r="K4" s="41"/>
      <c r="L4" s="41"/>
      <c r="M4" s="41"/>
      <c r="N4" s="41"/>
      <c r="O4" s="41"/>
      <c r="P4" s="41"/>
      <c r="Q4" s="41"/>
      <c r="R4" s="41"/>
    </row>
    <row r="6" spans="2:18" ht="20.25" customHeight="1">
      <c r="I6" s="241" t="s">
        <v>2</v>
      </c>
      <c r="L6" s="240"/>
      <c r="M6" s="240"/>
      <c r="N6" s="240"/>
    </row>
    <row r="7" spans="2:18" ht="15.75">
      <c r="I7" s="242" t="s">
        <v>3</v>
      </c>
      <c r="J7" s="242"/>
      <c r="K7" s="242"/>
      <c r="L7" s="211"/>
      <c r="M7" s="211"/>
      <c r="N7" s="211"/>
    </row>
    <row r="8" spans="2:18" ht="15.75">
      <c r="I8" s="242" t="s">
        <v>4</v>
      </c>
      <c r="J8" s="242"/>
      <c r="K8" s="242"/>
      <c r="L8" s="211"/>
      <c r="M8" s="211"/>
      <c r="N8" s="211"/>
    </row>
    <row r="9" spans="2:18" ht="15.75">
      <c r="I9" s="242" t="s">
        <v>5</v>
      </c>
      <c r="J9" s="242"/>
      <c r="K9" s="242"/>
      <c r="L9" s="211"/>
      <c r="M9" s="211"/>
      <c r="N9" s="240"/>
    </row>
    <row r="10" spans="2:18" ht="14.25" customHeight="1">
      <c r="I10" s="242" t="s">
        <v>6</v>
      </c>
      <c r="L10" s="240"/>
      <c r="M10" s="240"/>
      <c r="N10" s="240"/>
    </row>
    <row r="11" spans="2:18" ht="15">
      <c r="I11" s="242" t="s">
        <v>7</v>
      </c>
      <c r="J11" s="242"/>
      <c r="K11" s="242"/>
      <c r="L11" s="242"/>
      <c r="M11" s="242"/>
      <c r="N11" s="242"/>
    </row>
    <row r="14" spans="2:18" ht="14.25" customHeight="1"/>
    <row r="16" spans="2:18" ht="14.25" customHeight="1"/>
    <row r="18" spans="2:18">
      <c r="K18" s="210"/>
      <c r="L18" s="210"/>
      <c r="M18" s="210"/>
      <c r="N18" s="210"/>
      <c r="O18" s="210"/>
      <c r="P18" s="210"/>
    </row>
    <row r="19" spans="2:18">
      <c r="K19" s="210"/>
      <c r="L19" s="210"/>
      <c r="M19" s="210"/>
      <c r="N19" s="210"/>
      <c r="O19" s="210"/>
      <c r="P19" s="210"/>
    </row>
    <row r="20" spans="2:18">
      <c r="K20" s="210"/>
      <c r="L20" s="210"/>
      <c r="M20" s="210"/>
      <c r="N20" s="210"/>
      <c r="O20" s="210"/>
      <c r="P20" s="210"/>
    </row>
    <row r="21" spans="2:18" ht="45" customHeight="1">
      <c r="K21" s="210"/>
      <c r="L21" s="210"/>
      <c r="M21" s="210"/>
      <c r="N21" s="210"/>
      <c r="O21" s="210"/>
      <c r="P21" s="210"/>
    </row>
    <row r="22" spans="2:18">
      <c r="K22" s="210"/>
      <c r="L22" s="210"/>
      <c r="M22" s="210"/>
      <c r="N22" s="210"/>
      <c r="O22" s="210"/>
      <c r="P22" s="210"/>
    </row>
    <row r="23" spans="2:18">
      <c r="K23" s="210"/>
      <c r="L23" s="210"/>
      <c r="M23" s="210"/>
      <c r="N23" s="210"/>
      <c r="O23" s="210"/>
      <c r="P23" s="210"/>
    </row>
    <row r="24" spans="2:18">
      <c r="K24" s="210"/>
      <c r="L24" s="210"/>
      <c r="M24" s="210"/>
      <c r="N24" s="210"/>
      <c r="O24" s="210"/>
      <c r="P24" s="210"/>
    </row>
    <row r="25" spans="2:18">
      <c r="K25" s="210"/>
      <c r="L25" s="210"/>
      <c r="M25" s="210"/>
      <c r="N25" s="210"/>
      <c r="O25" s="210"/>
      <c r="P25" s="210"/>
    </row>
    <row r="26" spans="2:18">
      <c r="B26" s="246" t="s">
        <v>8</v>
      </c>
      <c r="C26" s="246"/>
      <c r="D26" s="246"/>
      <c r="E26" s="246"/>
      <c r="F26" s="246"/>
      <c r="G26" s="246"/>
    </row>
    <row r="27" spans="2:18" ht="14.25" customHeight="1">
      <c r="B27" s="211"/>
      <c r="C27" s="211"/>
      <c r="D27" s="211"/>
      <c r="E27" s="211"/>
      <c r="F27" s="211"/>
      <c r="G27" s="211"/>
      <c r="H27" s="43"/>
      <c r="I27" s="43"/>
      <c r="J27" s="43"/>
      <c r="K27" s="43"/>
      <c r="L27" s="43"/>
      <c r="M27" s="43"/>
      <c r="N27" s="43"/>
      <c r="O27" s="43"/>
      <c r="P27" s="43"/>
      <c r="Q27" s="43"/>
      <c r="R27" s="43"/>
    </row>
    <row r="28" spans="2:18" ht="15">
      <c r="B28" s="164" t="s">
        <v>9</v>
      </c>
    </row>
    <row r="30" spans="2:18">
      <c r="B30" s="21" t="s">
        <v>10</v>
      </c>
    </row>
    <row r="31" spans="2:18">
      <c r="B31" s="244" t="s">
        <v>11</v>
      </c>
      <c r="C31" s="244"/>
      <c r="D31" s="244"/>
      <c r="E31" s="244"/>
      <c r="F31" s="244"/>
      <c r="G31" s="244"/>
      <c r="H31" s="244"/>
      <c r="I31" s="244"/>
      <c r="J31" s="244"/>
    </row>
    <row r="32" spans="2:18">
      <c r="B32" s="244"/>
      <c r="C32" s="244"/>
      <c r="D32" s="244"/>
      <c r="E32" s="244"/>
      <c r="F32" s="244"/>
      <c r="G32" s="244"/>
      <c r="H32" s="244"/>
      <c r="I32" s="244"/>
      <c r="J32" s="244"/>
    </row>
    <row r="33" spans="2:10">
      <c r="B33" s="244" t="s">
        <v>12</v>
      </c>
      <c r="C33" s="244"/>
      <c r="D33" s="244"/>
      <c r="E33" s="244"/>
      <c r="F33" s="244"/>
      <c r="G33" s="244"/>
      <c r="H33" s="244"/>
      <c r="I33" s="244"/>
      <c r="J33" s="244"/>
    </row>
    <row r="34" spans="2:10">
      <c r="B34" s="244"/>
      <c r="C34" s="244"/>
      <c r="D34" s="244"/>
      <c r="E34" s="244"/>
      <c r="F34" s="244"/>
      <c r="G34" s="244"/>
      <c r="H34" s="244"/>
      <c r="I34" s="244"/>
      <c r="J34" s="244"/>
    </row>
    <row r="35" spans="2:10">
      <c r="B35" s="21" t="s">
        <v>13</v>
      </c>
      <c r="C35" s="210"/>
      <c r="D35" s="210"/>
      <c r="E35" s="210"/>
      <c r="F35" s="210"/>
      <c r="G35" s="210"/>
      <c r="H35" s="210"/>
      <c r="I35" s="210"/>
      <c r="J35" s="210"/>
    </row>
    <row r="36" spans="2:10">
      <c r="B36" s="244" t="s">
        <v>14</v>
      </c>
      <c r="C36" s="244"/>
      <c r="D36" s="244"/>
      <c r="E36" s="244"/>
      <c r="F36" s="244"/>
      <c r="G36" s="244"/>
      <c r="H36" s="244"/>
      <c r="I36" s="244"/>
      <c r="J36" s="244"/>
    </row>
    <row r="37" spans="2:10">
      <c r="B37" s="244"/>
      <c r="C37" s="244"/>
      <c r="D37" s="244"/>
      <c r="E37" s="244"/>
      <c r="F37" s="244"/>
      <c r="G37" s="244"/>
      <c r="H37" s="244"/>
      <c r="I37" s="244"/>
      <c r="J37" s="244"/>
    </row>
    <row r="38" spans="2:10">
      <c r="B38" s="243" t="s">
        <v>15</v>
      </c>
      <c r="C38" s="243"/>
      <c r="D38" s="243"/>
      <c r="E38" s="243"/>
      <c r="F38" s="243"/>
      <c r="G38" s="243"/>
      <c r="H38" s="243"/>
      <c r="I38" s="243"/>
      <c r="J38" s="243"/>
    </row>
    <row r="39" spans="2:10">
      <c r="C39" s="210"/>
      <c r="D39" s="210"/>
      <c r="E39" s="210"/>
      <c r="F39" s="210"/>
      <c r="G39" s="210"/>
      <c r="H39" s="210"/>
    </row>
    <row r="41" spans="2:10" ht="15">
      <c r="B41" s="239" t="s">
        <v>1</v>
      </c>
    </row>
  </sheetData>
  <sheetProtection algorithmName="SHA-512" hashValue="r/luNyJJsHF81gcBbB5kyLR1x4HwWwhkmDNL/FgyPmZaPVNZANtgxveQruZPwcNykfUJOFNUC0V6K4D+aGHkgQ==" saltValue="dbuy+UrEwpkdHPfVo0auJA==" spinCount="100000" sheet="1" objects="1" scenarios="1"/>
  <mergeCells count="6">
    <mergeCell ref="B38:J38"/>
    <mergeCell ref="B33:J34"/>
    <mergeCell ref="B1:I2"/>
    <mergeCell ref="B26:G26"/>
    <mergeCell ref="B31:J32"/>
    <mergeCell ref="B36:J37"/>
  </mergeCells>
  <hyperlinks>
    <hyperlink ref="B38:J38" r:id="rId1" display="6. Sí desea ver un ejemplo puede realizar click aquí." xr:uid="{0668C41D-7167-4FDC-9790-EBCA3F22543B}"/>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36BAE7-A642-4F1E-8275-227682CE2BFB}">
  <sheetPr codeName="Hoja9"/>
  <dimension ref="B1:S95"/>
  <sheetViews>
    <sheetView zoomScale="70" zoomScaleNormal="70" workbookViewId="0">
      <selection activeCell="V4" sqref="V4"/>
    </sheetView>
  </sheetViews>
  <sheetFormatPr baseColWidth="10" defaultColWidth="11.42578125" defaultRowHeight="14.25"/>
  <cols>
    <col min="1" max="16384" width="11.42578125" style="21"/>
  </cols>
  <sheetData>
    <row r="1" spans="2:19" ht="25.5" customHeight="1"/>
    <row r="2" spans="2:19" ht="21" thickBot="1">
      <c r="B2" s="247" t="s">
        <v>16</v>
      </c>
      <c r="C2" s="247"/>
      <c r="D2" s="41"/>
      <c r="E2" s="41"/>
      <c r="F2" s="41"/>
      <c r="G2" s="41"/>
      <c r="H2" s="41"/>
      <c r="I2" s="41"/>
      <c r="J2" s="41"/>
      <c r="K2" s="41"/>
      <c r="L2" s="41"/>
      <c r="M2" s="41"/>
      <c r="N2" s="41"/>
      <c r="O2" s="41"/>
      <c r="P2" s="41"/>
      <c r="Q2" s="41"/>
      <c r="R2" s="41"/>
      <c r="S2" s="41"/>
    </row>
    <row r="3" spans="2:19" ht="15" customHeight="1">
      <c r="B3" s="248" t="s">
        <v>17</v>
      </c>
      <c r="C3" s="248"/>
      <c r="D3" s="248"/>
      <c r="E3" s="248"/>
      <c r="F3" s="248"/>
      <c r="G3" s="248"/>
      <c r="H3" s="248"/>
      <c r="I3" s="248"/>
      <c r="J3" s="248"/>
      <c r="K3" s="248"/>
      <c r="L3" s="248"/>
      <c r="M3" s="248"/>
      <c r="N3" s="248"/>
      <c r="O3" s="248"/>
      <c r="P3" s="248"/>
      <c r="Q3" s="248"/>
      <c r="R3" s="248"/>
      <c r="S3" s="248"/>
    </row>
    <row r="4" spans="2:19">
      <c r="B4" s="244"/>
      <c r="C4" s="244"/>
      <c r="D4" s="244"/>
      <c r="E4" s="244"/>
      <c r="F4" s="244"/>
      <c r="G4" s="244"/>
      <c r="H4" s="244"/>
      <c r="I4" s="244"/>
      <c r="J4" s="244"/>
      <c r="K4" s="244"/>
      <c r="L4" s="244"/>
      <c r="M4" s="244"/>
      <c r="N4" s="244"/>
      <c r="O4" s="244"/>
      <c r="P4" s="244"/>
      <c r="Q4" s="244"/>
      <c r="R4" s="244"/>
      <c r="S4" s="244"/>
    </row>
    <row r="5" spans="2:19">
      <c r="B5" s="244"/>
      <c r="C5" s="244"/>
      <c r="D5" s="244"/>
      <c r="E5" s="244"/>
      <c r="F5" s="244"/>
      <c r="G5" s="244"/>
      <c r="H5" s="244"/>
      <c r="I5" s="244"/>
      <c r="J5" s="244"/>
      <c r="K5" s="244"/>
      <c r="L5" s="244"/>
      <c r="M5" s="244"/>
      <c r="N5" s="244"/>
      <c r="O5" s="244"/>
      <c r="P5" s="244"/>
      <c r="Q5" s="244"/>
      <c r="R5" s="244"/>
      <c r="S5" s="244"/>
    </row>
    <row r="6" spans="2:19">
      <c r="B6" s="244"/>
      <c r="C6" s="244"/>
      <c r="D6" s="244"/>
      <c r="E6" s="244"/>
      <c r="F6" s="244"/>
      <c r="G6" s="244"/>
      <c r="H6" s="244"/>
      <c r="I6" s="244"/>
      <c r="J6" s="244"/>
      <c r="K6" s="244"/>
      <c r="L6" s="244"/>
      <c r="M6" s="244"/>
      <c r="N6" s="244"/>
      <c r="O6" s="244"/>
      <c r="P6" s="244"/>
      <c r="Q6" s="244"/>
      <c r="R6" s="244"/>
      <c r="S6" s="244"/>
    </row>
    <row r="7" spans="2:19">
      <c r="B7" s="244"/>
      <c r="C7" s="244"/>
      <c r="D7" s="244"/>
      <c r="E7" s="244"/>
      <c r="F7" s="244"/>
      <c r="G7" s="244"/>
      <c r="H7" s="244"/>
      <c r="I7" s="244"/>
      <c r="J7" s="244"/>
      <c r="K7" s="244"/>
      <c r="L7" s="244"/>
      <c r="M7" s="244"/>
      <c r="N7" s="244"/>
      <c r="O7" s="244"/>
      <c r="P7" s="244"/>
      <c r="Q7" s="244"/>
      <c r="R7" s="244"/>
      <c r="S7" s="244"/>
    </row>
    <row r="8" spans="2:19">
      <c r="B8" s="244"/>
      <c r="C8" s="244"/>
      <c r="D8" s="244"/>
      <c r="E8" s="244"/>
      <c r="F8" s="244"/>
      <c r="G8" s="244"/>
      <c r="H8" s="244"/>
      <c r="I8" s="244"/>
      <c r="J8" s="244"/>
      <c r="K8" s="244"/>
      <c r="L8" s="244"/>
      <c r="M8" s="244"/>
      <c r="N8" s="244"/>
      <c r="O8" s="244"/>
      <c r="P8" s="244"/>
      <c r="Q8" s="244"/>
      <c r="R8" s="244"/>
      <c r="S8" s="244"/>
    </row>
    <row r="9" spans="2:19">
      <c r="B9" s="244"/>
      <c r="C9" s="244"/>
      <c r="D9" s="244"/>
      <c r="E9" s="244"/>
      <c r="F9" s="244"/>
      <c r="G9" s="244"/>
      <c r="H9" s="244"/>
      <c r="I9" s="244"/>
      <c r="J9" s="244"/>
      <c r="K9" s="244"/>
      <c r="L9" s="244"/>
      <c r="M9" s="244"/>
      <c r="N9" s="244"/>
      <c r="O9" s="244"/>
      <c r="P9" s="244"/>
      <c r="Q9" s="244"/>
      <c r="R9" s="244"/>
      <c r="S9" s="244"/>
    </row>
    <row r="10" spans="2:19">
      <c r="B10" s="244"/>
      <c r="C10" s="244"/>
      <c r="D10" s="244"/>
      <c r="E10" s="244"/>
      <c r="F10" s="244"/>
      <c r="G10" s="244"/>
      <c r="H10" s="244"/>
      <c r="I10" s="244"/>
      <c r="J10" s="244"/>
      <c r="K10" s="244"/>
      <c r="L10" s="244"/>
      <c r="M10" s="244"/>
      <c r="N10" s="244"/>
      <c r="O10" s="244"/>
      <c r="P10" s="244"/>
      <c r="Q10" s="244"/>
      <c r="R10" s="244"/>
      <c r="S10" s="244"/>
    </row>
    <row r="11" spans="2:19">
      <c r="B11" s="244"/>
      <c r="C11" s="244"/>
      <c r="D11" s="244"/>
      <c r="E11" s="244"/>
      <c r="F11" s="244"/>
      <c r="G11" s="244"/>
      <c r="H11" s="244"/>
      <c r="I11" s="244"/>
      <c r="J11" s="244"/>
      <c r="K11" s="244"/>
      <c r="L11" s="244"/>
      <c r="M11" s="244"/>
      <c r="N11" s="244"/>
      <c r="O11" s="244"/>
      <c r="P11" s="244"/>
      <c r="Q11" s="244"/>
      <c r="R11" s="244"/>
      <c r="S11" s="244"/>
    </row>
    <row r="12" spans="2:19">
      <c r="B12" s="244"/>
      <c r="C12" s="244"/>
      <c r="D12" s="244"/>
      <c r="E12" s="244"/>
      <c r="F12" s="244"/>
      <c r="G12" s="244"/>
      <c r="H12" s="244"/>
      <c r="I12" s="244"/>
      <c r="J12" s="244"/>
      <c r="K12" s="244"/>
      <c r="L12" s="244"/>
      <c r="M12" s="244"/>
      <c r="N12" s="244"/>
      <c r="O12" s="244"/>
      <c r="P12" s="244"/>
      <c r="Q12" s="244"/>
      <c r="R12" s="244"/>
      <c r="S12" s="244"/>
    </row>
    <row r="13" spans="2:19" ht="15" customHeight="1">
      <c r="B13" s="244"/>
      <c r="C13" s="244"/>
      <c r="D13" s="244"/>
      <c r="E13" s="244"/>
      <c r="F13" s="244"/>
      <c r="G13" s="244"/>
      <c r="H13" s="244"/>
      <c r="I13" s="244"/>
      <c r="J13" s="244"/>
      <c r="K13" s="244"/>
      <c r="L13" s="244"/>
      <c r="M13" s="244"/>
      <c r="N13" s="244"/>
      <c r="O13" s="244"/>
      <c r="P13" s="244"/>
      <c r="Q13" s="244"/>
      <c r="R13" s="244"/>
      <c r="S13" s="244"/>
    </row>
    <row r="14" spans="2:19" ht="15" customHeight="1">
      <c r="B14" s="244" t="s">
        <v>18</v>
      </c>
      <c r="C14" s="244"/>
      <c r="D14" s="244"/>
      <c r="E14" s="244"/>
      <c r="F14" s="244"/>
      <c r="G14" s="244"/>
      <c r="H14" s="244"/>
      <c r="I14" s="244"/>
      <c r="J14" s="244"/>
      <c r="K14" s="244"/>
      <c r="L14" s="244"/>
      <c r="M14" s="244"/>
      <c r="N14" s="244"/>
      <c r="O14" s="244"/>
      <c r="P14" s="244"/>
      <c r="Q14" s="244"/>
      <c r="R14" s="244"/>
      <c r="S14" s="244"/>
    </row>
    <row r="15" spans="2:19" ht="15" customHeight="1">
      <c r="B15" s="244"/>
      <c r="C15" s="244"/>
      <c r="D15" s="244"/>
      <c r="E15" s="244"/>
      <c r="F15" s="244"/>
      <c r="G15" s="244"/>
      <c r="H15" s="244"/>
      <c r="I15" s="244"/>
      <c r="J15" s="244"/>
      <c r="K15" s="244"/>
      <c r="L15" s="244"/>
      <c r="M15" s="244"/>
      <c r="N15" s="244"/>
      <c r="O15" s="244"/>
      <c r="P15" s="244"/>
      <c r="Q15" s="244"/>
      <c r="R15" s="244"/>
      <c r="S15" s="244"/>
    </row>
    <row r="16" spans="2:19" ht="15" customHeight="1">
      <c r="B16" s="244"/>
      <c r="C16" s="244"/>
      <c r="D16" s="244"/>
      <c r="E16" s="244"/>
      <c r="F16" s="244"/>
      <c r="G16" s="244"/>
      <c r="H16" s="244"/>
      <c r="I16" s="244"/>
      <c r="J16" s="244"/>
      <c r="K16" s="244"/>
      <c r="L16" s="244"/>
      <c r="M16" s="244"/>
      <c r="N16" s="244"/>
      <c r="O16" s="244"/>
      <c r="P16" s="244"/>
      <c r="Q16" s="244"/>
      <c r="R16" s="244"/>
      <c r="S16" s="244"/>
    </row>
    <row r="17" spans="2:19" ht="15" customHeight="1">
      <c r="B17" s="244"/>
      <c r="C17" s="244"/>
      <c r="D17" s="244"/>
      <c r="E17" s="244"/>
      <c r="F17" s="244"/>
      <c r="G17" s="244"/>
      <c r="H17" s="244"/>
      <c r="I17" s="244"/>
      <c r="J17" s="244"/>
      <c r="K17" s="244"/>
      <c r="L17" s="244"/>
      <c r="M17" s="244"/>
      <c r="N17" s="244"/>
      <c r="O17" s="244"/>
      <c r="P17" s="244"/>
      <c r="Q17" s="244"/>
      <c r="R17" s="244"/>
      <c r="S17" s="244"/>
    </row>
    <row r="18" spans="2:19" ht="21" thickBot="1">
      <c r="B18" s="208" t="s">
        <v>19</v>
      </c>
      <c r="C18" s="208"/>
      <c r="D18" s="208"/>
      <c r="E18" s="208"/>
      <c r="F18" s="208"/>
      <c r="G18" s="208"/>
      <c r="H18" s="208"/>
      <c r="I18" s="208"/>
      <c r="J18" s="208"/>
      <c r="K18" s="208"/>
      <c r="L18" s="208"/>
      <c r="M18" s="208"/>
      <c r="N18" s="208"/>
      <c r="O18" s="208"/>
      <c r="P18" s="208"/>
      <c r="Q18" s="208"/>
      <c r="R18" s="208"/>
      <c r="S18" s="208"/>
    </row>
    <row r="19" spans="2:19">
      <c r="B19" s="248" t="s">
        <v>20</v>
      </c>
      <c r="C19" s="249"/>
      <c r="D19" s="249"/>
      <c r="E19" s="249"/>
      <c r="F19" s="249"/>
      <c r="G19" s="249"/>
      <c r="H19" s="249"/>
      <c r="I19" s="249"/>
      <c r="J19" s="249"/>
      <c r="K19" s="249"/>
      <c r="L19" s="249"/>
      <c r="M19" s="249"/>
      <c r="N19" s="249"/>
      <c r="O19" s="249"/>
      <c r="P19" s="249"/>
      <c r="Q19" s="249"/>
      <c r="R19" s="249"/>
      <c r="S19" s="249"/>
    </row>
    <row r="20" spans="2:19">
      <c r="B20" s="250"/>
      <c r="C20" s="250"/>
      <c r="D20" s="250"/>
      <c r="E20" s="250"/>
      <c r="F20" s="250"/>
      <c r="G20" s="250"/>
      <c r="H20" s="250"/>
      <c r="I20" s="250"/>
      <c r="J20" s="250"/>
      <c r="K20" s="250"/>
      <c r="L20" s="250"/>
      <c r="M20" s="250"/>
      <c r="N20" s="250"/>
      <c r="O20" s="250"/>
      <c r="P20" s="250"/>
      <c r="Q20" s="250"/>
      <c r="R20" s="250"/>
      <c r="S20" s="250"/>
    </row>
    <row r="21" spans="2:19">
      <c r="B21" s="250"/>
      <c r="C21" s="250"/>
      <c r="D21" s="250"/>
      <c r="E21" s="250"/>
      <c r="F21" s="250"/>
      <c r="G21" s="250"/>
      <c r="H21" s="250"/>
      <c r="I21" s="250"/>
      <c r="J21" s="250"/>
      <c r="K21" s="250"/>
      <c r="L21" s="250"/>
      <c r="M21" s="250"/>
      <c r="N21" s="250"/>
      <c r="O21" s="250"/>
      <c r="P21" s="250"/>
      <c r="Q21" s="250"/>
      <c r="R21" s="250"/>
      <c r="S21" s="250"/>
    </row>
    <row r="22" spans="2:19">
      <c r="B22" s="250"/>
      <c r="C22" s="250"/>
      <c r="D22" s="250"/>
      <c r="E22" s="250"/>
      <c r="F22" s="250"/>
      <c r="G22" s="250"/>
      <c r="H22" s="250"/>
      <c r="I22" s="250"/>
      <c r="J22" s="250"/>
      <c r="K22" s="250"/>
      <c r="L22" s="250"/>
      <c r="M22" s="250"/>
      <c r="N22" s="250"/>
      <c r="O22" s="250"/>
      <c r="P22" s="250"/>
      <c r="Q22" s="250"/>
      <c r="R22" s="250"/>
      <c r="S22" s="250"/>
    </row>
    <row r="23" spans="2:19">
      <c r="B23" s="250"/>
      <c r="C23" s="250"/>
      <c r="D23" s="250"/>
      <c r="E23" s="250"/>
      <c r="F23" s="250"/>
      <c r="G23" s="250"/>
      <c r="H23" s="250"/>
      <c r="I23" s="250"/>
      <c r="J23" s="250"/>
      <c r="K23" s="250"/>
      <c r="L23" s="250"/>
      <c r="M23" s="250"/>
      <c r="N23" s="250"/>
      <c r="O23" s="250"/>
      <c r="P23" s="250"/>
      <c r="Q23" s="250"/>
      <c r="R23" s="250"/>
      <c r="S23" s="250"/>
    </row>
    <row r="24" spans="2:19">
      <c r="B24" s="250"/>
      <c r="C24" s="250"/>
      <c r="D24" s="250"/>
      <c r="E24" s="250"/>
      <c r="F24" s="250"/>
      <c r="G24" s="250"/>
      <c r="H24" s="250"/>
      <c r="I24" s="250"/>
      <c r="J24" s="250"/>
      <c r="K24" s="250"/>
      <c r="L24" s="250"/>
      <c r="M24" s="250"/>
      <c r="N24" s="250"/>
      <c r="O24" s="250"/>
      <c r="P24" s="250"/>
      <c r="Q24" s="250"/>
      <c r="R24" s="250"/>
      <c r="S24" s="250"/>
    </row>
    <row r="25" spans="2:19">
      <c r="B25" s="250"/>
      <c r="C25" s="250"/>
      <c r="D25" s="250"/>
      <c r="E25" s="250"/>
      <c r="F25" s="250"/>
      <c r="G25" s="250"/>
      <c r="H25" s="250"/>
      <c r="I25" s="250"/>
      <c r="J25" s="250"/>
      <c r="K25" s="250"/>
      <c r="L25" s="250"/>
      <c r="M25" s="250"/>
      <c r="N25" s="250"/>
      <c r="O25" s="250"/>
      <c r="P25" s="250"/>
      <c r="Q25" s="250"/>
      <c r="R25" s="250"/>
      <c r="S25" s="250"/>
    </row>
    <row r="26" spans="2:19">
      <c r="B26" s="250"/>
      <c r="C26" s="250"/>
      <c r="D26" s="250"/>
      <c r="E26" s="250"/>
      <c r="F26" s="250"/>
      <c r="G26" s="250"/>
      <c r="H26" s="250"/>
      <c r="I26" s="250"/>
      <c r="J26" s="250"/>
      <c r="K26" s="250"/>
      <c r="L26" s="250"/>
      <c r="M26" s="250"/>
      <c r="N26" s="250"/>
      <c r="O26" s="250"/>
      <c r="P26" s="250"/>
      <c r="Q26" s="250"/>
      <c r="R26" s="250"/>
      <c r="S26" s="250"/>
    </row>
    <row r="27" spans="2:19">
      <c r="B27" s="250"/>
      <c r="C27" s="250"/>
      <c r="D27" s="250"/>
      <c r="E27" s="250"/>
      <c r="F27" s="250"/>
      <c r="G27" s="250"/>
      <c r="H27" s="250"/>
      <c r="I27" s="250"/>
      <c r="J27" s="250"/>
      <c r="K27" s="250"/>
      <c r="L27" s="250"/>
      <c r="M27" s="250"/>
      <c r="N27" s="250"/>
      <c r="O27" s="250"/>
      <c r="P27" s="250"/>
      <c r="Q27" s="250"/>
      <c r="R27" s="250"/>
      <c r="S27" s="250"/>
    </row>
    <row r="28" spans="2:19">
      <c r="B28" s="250"/>
      <c r="C28" s="250"/>
      <c r="D28" s="250"/>
      <c r="E28" s="250"/>
      <c r="F28" s="250"/>
      <c r="G28" s="250"/>
      <c r="H28" s="250"/>
      <c r="I28" s="250"/>
      <c r="J28" s="250"/>
      <c r="K28" s="250"/>
      <c r="L28" s="250"/>
      <c r="M28" s="250"/>
      <c r="N28" s="250"/>
      <c r="O28" s="250"/>
      <c r="P28" s="250"/>
      <c r="Q28" s="250"/>
      <c r="R28" s="250"/>
      <c r="S28" s="250"/>
    </row>
    <row r="29" spans="2:19">
      <c r="B29" s="250"/>
      <c r="C29" s="250"/>
      <c r="D29" s="250"/>
      <c r="E29" s="250"/>
      <c r="F29" s="250"/>
      <c r="G29" s="250"/>
      <c r="H29" s="250"/>
      <c r="I29" s="250"/>
      <c r="J29" s="250"/>
      <c r="K29" s="250"/>
      <c r="L29" s="250"/>
      <c r="M29" s="250"/>
      <c r="N29" s="250"/>
      <c r="O29" s="250"/>
      <c r="P29" s="250"/>
      <c r="Q29" s="250"/>
      <c r="R29" s="250"/>
      <c r="S29" s="250"/>
    </row>
    <row r="30" spans="2:19">
      <c r="B30" s="250"/>
      <c r="C30" s="250"/>
      <c r="D30" s="250"/>
      <c r="E30" s="250"/>
      <c r="F30" s="250"/>
      <c r="G30" s="250"/>
      <c r="H30" s="250"/>
      <c r="I30" s="250"/>
      <c r="J30" s="250"/>
      <c r="K30" s="250"/>
      <c r="L30" s="250"/>
      <c r="M30" s="250"/>
      <c r="N30" s="250"/>
      <c r="O30" s="250"/>
      <c r="P30" s="250"/>
      <c r="Q30" s="250"/>
      <c r="R30" s="250"/>
      <c r="S30" s="250"/>
    </row>
    <row r="31" spans="2:19">
      <c r="B31" s="250"/>
      <c r="C31" s="250"/>
      <c r="D31" s="250"/>
      <c r="E31" s="250"/>
      <c r="F31" s="250"/>
      <c r="G31" s="250"/>
      <c r="H31" s="250"/>
      <c r="I31" s="250"/>
      <c r="J31" s="250"/>
      <c r="K31" s="250"/>
      <c r="L31" s="250"/>
      <c r="M31" s="250"/>
      <c r="N31" s="250"/>
      <c r="O31" s="250"/>
      <c r="P31" s="250"/>
      <c r="Q31" s="250"/>
      <c r="R31" s="250"/>
      <c r="S31" s="250"/>
    </row>
    <row r="32" spans="2:19">
      <c r="B32" s="250"/>
      <c r="C32" s="250"/>
      <c r="D32" s="250"/>
      <c r="E32" s="250"/>
      <c r="F32" s="250"/>
      <c r="G32" s="250"/>
      <c r="H32" s="250"/>
      <c r="I32" s="250"/>
      <c r="J32" s="250"/>
      <c r="K32" s="250"/>
      <c r="L32" s="250"/>
      <c r="M32" s="250"/>
      <c r="N32" s="250"/>
      <c r="O32" s="250"/>
      <c r="P32" s="250"/>
      <c r="Q32" s="250"/>
      <c r="R32" s="250"/>
      <c r="S32" s="250"/>
    </row>
    <row r="33" spans="2:19">
      <c r="B33" s="250"/>
      <c r="C33" s="250"/>
      <c r="D33" s="250"/>
      <c r="E33" s="250"/>
      <c r="F33" s="250"/>
      <c r="G33" s="250"/>
      <c r="H33" s="250"/>
      <c r="I33" s="250"/>
      <c r="J33" s="250"/>
      <c r="K33" s="250"/>
      <c r="L33" s="250"/>
      <c r="M33" s="250"/>
      <c r="N33" s="250"/>
      <c r="O33" s="250"/>
      <c r="P33" s="250"/>
      <c r="Q33" s="250"/>
      <c r="R33" s="250"/>
      <c r="S33" s="250"/>
    </row>
    <row r="34" spans="2:19">
      <c r="B34" s="250"/>
      <c r="C34" s="250"/>
      <c r="D34" s="250"/>
      <c r="E34" s="250"/>
      <c r="F34" s="250"/>
      <c r="G34" s="250"/>
      <c r="H34" s="250"/>
      <c r="I34" s="250"/>
      <c r="J34" s="250"/>
      <c r="K34" s="250"/>
      <c r="L34" s="250"/>
      <c r="M34" s="250"/>
      <c r="N34" s="250"/>
      <c r="O34" s="250"/>
      <c r="P34" s="250"/>
      <c r="Q34" s="250"/>
      <c r="R34" s="250"/>
      <c r="S34" s="250"/>
    </row>
    <row r="35" spans="2:19">
      <c r="B35" s="250"/>
      <c r="C35" s="250"/>
      <c r="D35" s="250"/>
      <c r="E35" s="250"/>
      <c r="F35" s="250"/>
      <c r="G35" s="250"/>
      <c r="H35" s="250"/>
      <c r="I35" s="250"/>
      <c r="J35" s="250"/>
      <c r="K35" s="250"/>
      <c r="L35" s="250"/>
      <c r="M35" s="250"/>
      <c r="N35" s="250"/>
      <c r="O35" s="250"/>
      <c r="P35" s="250"/>
      <c r="Q35" s="250"/>
      <c r="R35" s="250"/>
      <c r="S35" s="250"/>
    </row>
    <row r="36" spans="2:19">
      <c r="B36" s="250"/>
      <c r="C36" s="250"/>
      <c r="D36" s="250"/>
      <c r="E36" s="250"/>
      <c r="F36" s="250"/>
      <c r="G36" s="250"/>
      <c r="H36" s="250"/>
      <c r="I36" s="250"/>
      <c r="J36" s="250"/>
      <c r="K36" s="250"/>
      <c r="L36" s="250"/>
      <c r="M36" s="250"/>
      <c r="N36" s="250"/>
      <c r="O36" s="250"/>
      <c r="P36" s="250"/>
      <c r="Q36" s="250"/>
      <c r="R36" s="250"/>
      <c r="S36" s="250"/>
    </row>
    <row r="37" spans="2:19">
      <c r="B37" s="250"/>
      <c r="C37" s="250"/>
      <c r="D37" s="250"/>
      <c r="E37" s="250"/>
      <c r="F37" s="250"/>
      <c r="G37" s="250"/>
      <c r="H37" s="250"/>
      <c r="I37" s="250"/>
      <c r="J37" s="250"/>
      <c r="K37" s="250"/>
      <c r="L37" s="250"/>
      <c r="M37" s="250"/>
      <c r="N37" s="250"/>
      <c r="O37" s="250"/>
      <c r="P37" s="250"/>
      <c r="Q37" s="250"/>
      <c r="R37" s="250"/>
      <c r="S37" s="250"/>
    </row>
    <row r="38" spans="2:19">
      <c r="B38" s="250"/>
      <c r="C38" s="250"/>
      <c r="D38" s="250"/>
      <c r="E38" s="250"/>
      <c r="F38" s="250"/>
      <c r="G38" s="250"/>
      <c r="H38" s="250"/>
      <c r="I38" s="250"/>
      <c r="J38" s="250"/>
      <c r="K38" s="250"/>
      <c r="L38" s="250"/>
      <c r="M38" s="250"/>
      <c r="N38" s="250"/>
      <c r="O38" s="250"/>
      <c r="P38" s="250"/>
      <c r="Q38" s="250"/>
      <c r="R38" s="250"/>
      <c r="S38" s="250"/>
    </row>
    <row r="39" spans="2:19">
      <c r="B39" s="250"/>
      <c r="C39" s="250"/>
      <c r="D39" s="250"/>
      <c r="E39" s="250"/>
      <c r="F39" s="250"/>
      <c r="G39" s="250"/>
      <c r="H39" s="250"/>
      <c r="I39" s="250"/>
      <c r="J39" s="250"/>
      <c r="K39" s="250"/>
      <c r="L39" s="250"/>
      <c r="M39" s="250"/>
      <c r="N39" s="250"/>
      <c r="O39" s="250"/>
      <c r="P39" s="250"/>
      <c r="Q39" s="250"/>
      <c r="R39" s="250"/>
      <c r="S39" s="250"/>
    </row>
    <row r="40" spans="2:19">
      <c r="B40" s="250"/>
      <c r="C40" s="250"/>
      <c r="D40" s="250"/>
      <c r="E40" s="250"/>
      <c r="F40" s="250"/>
      <c r="G40" s="250"/>
      <c r="H40" s="250"/>
      <c r="I40" s="250"/>
      <c r="J40" s="250"/>
      <c r="K40" s="250"/>
      <c r="L40" s="250"/>
      <c r="M40" s="250"/>
      <c r="N40" s="250"/>
      <c r="O40" s="250"/>
      <c r="P40" s="250"/>
      <c r="Q40" s="250"/>
      <c r="R40" s="250"/>
      <c r="S40" s="250"/>
    </row>
    <row r="41" spans="2:19">
      <c r="B41" s="250"/>
      <c r="C41" s="250"/>
      <c r="D41" s="250"/>
      <c r="E41" s="250"/>
      <c r="F41" s="250"/>
      <c r="G41" s="250"/>
      <c r="H41" s="250"/>
      <c r="I41" s="250"/>
      <c r="J41" s="250"/>
      <c r="K41" s="250"/>
      <c r="L41" s="250"/>
      <c r="M41" s="250"/>
      <c r="N41" s="250"/>
      <c r="O41" s="250"/>
      <c r="P41" s="250"/>
      <c r="Q41" s="250"/>
      <c r="R41" s="250"/>
      <c r="S41" s="250"/>
    </row>
    <row r="42" spans="2:19">
      <c r="B42" s="250"/>
      <c r="C42" s="250"/>
      <c r="D42" s="250"/>
      <c r="E42" s="250"/>
      <c r="F42" s="250"/>
      <c r="G42" s="250"/>
      <c r="H42" s="250"/>
      <c r="I42" s="250"/>
      <c r="J42" s="250"/>
      <c r="K42" s="250"/>
      <c r="L42" s="250"/>
      <c r="M42" s="250"/>
      <c r="N42" s="250"/>
      <c r="O42" s="250"/>
      <c r="P42" s="250"/>
      <c r="Q42" s="250"/>
      <c r="R42" s="250"/>
      <c r="S42" s="250"/>
    </row>
    <row r="43" spans="2:19">
      <c r="B43" s="250"/>
      <c r="C43" s="250"/>
      <c r="D43" s="250"/>
      <c r="E43" s="250"/>
      <c r="F43" s="250"/>
      <c r="G43" s="250"/>
      <c r="H43" s="250"/>
      <c r="I43" s="250"/>
      <c r="J43" s="250"/>
      <c r="K43" s="250"/>
      <c r="L43" s="250"/>
      <c r="M43" s="250"/>
      <c r="N43" s="250"/>
      <c r="O43" s="250"/>
      <c r="P43" s="250"/>
      <c r="Q43" s="250"/>
      <c r="R43" s="250"/>
      <c r="S43" s="250"/>
    </row>
    <row r="45" spans="2:19" ht="21" thickBot="1">
      <c r="B45" s="208" t="s">
        <v>21</v>
      </c>
      <c r="C45" s="208"/>
      <c r="D45" s="208"/>
      <c r="E45" s="208"/>
      <c r="F45" s="208"/>
      <c r="G45" s="208"/>
      <c r="H45" s="208"/>
      <c r="I45" s="208"/>
      <c r="J45" s="208"/>
      <c r="K45" s="208"/>
      <c r="L45" s="208"/>
      <c r="M45" s="208"/>
      <c r="N45" s="208"/>
      <c r="O45" s="208"/>
      <c r="P45" s="208"/>
      <c r="Q45" s="208"/>
      <c r="R45" s="208"/>
      <c r="S45" s="208"/>
    </row>
    <row r="46" spans="2:19" ht="14.25" customHeight="1">
      <c r="B46" s="248" t="s">
        <v>22</v>
      </c>
      <c r="C46" s="248"/>
      <c r="D46" s="248"/>
      <c r="E46" s="248"/>
      <c r="F46" s="248"/>
      <c r="G46" s="248"/>
      <c r="H46" s="248"/>
      <c r="I46" s="248"/>
      <c r="J46" s="209"/>
    </row>
    <row r="47" spans="2:19">
      <c r="B47" s="244"/>
      <c r="C47" s="244"/>
      <c r="D47" s="244"/>
      <c r="E47" s="244"/>
      <c r="F47" s="244"/>
      <c r="G47" s="244"/>
      <c r="H47" s="244"/>
      <c r="I47" s="244"/>
      <c r="J47" s="210"/>
    </row>
    <row r="48" spans="2:19">
      <c r="B48" s="244"/>
      <c r="C48" s="244"/>
      <c r="D48" s="244"/>
      <c r="E48" s="244"/>
      <c r="F48" s="244"/>
      <c r="G48" s="244"/>
      <c r="H48" s="244"/>
      <c r="I48" s="244"/>
      <c r="J48" s="210"/>
    </row>
    <row r="49" spans="2:10">
      <c r="B49" s="244"/>
      <c r="C49" s="244"/>
      <c r="D49" s="244"/>
      <c r="E49" s="244"/>
      <c r="F49" s="244"/>
      <c r="G49" s="244"/>
      <c r="H49" s="244"/>
      <c r="I49" s="244"/>
      <c r="J49" s="210"/>
    </row>
    <row r="50" spans="2:10">
      <c r="B50" s="244"/>
      <c r="C50" s="244"/>
      <c r="D50" s="244"/>
      <c r="E50" s="244"/>
      <c r="F50" s="244"/>
      <c r="G50" s="244"/>
      <c r="H50" s="244"/>
      <c r="I50" s="244"/>
      <c r="J50" s="210"/>
    </row>
    <row r="51" spans="2:10">
      <c r="B51" s="244"/>
      <c r="C51" s="244"/>
      <c r="D51" s="244"/>
      <c r="E51" s="244"/>
      <c r="F51" s="244"/>
      <c r="G51" s="244"/>
      <c r="H51" s="244"/>
      <c r="I51" s="244"/>
      <c r="J51" s="210"/>
    </row>
    <row r="52" spans="2:10">
      <c r="B52" s="244"/>
      <c r="C52" s="244"/>
      <c r="D52" s="244"/>
      <c r="E52" s="244"/>
      <c r="F52" s="244"/>
      <c r="G52" s="244"/>
      <c r="H52" s="244"/>
      <c r="I52" s="244"/>
      <c r="J52" s="210"/>
    </row>
    <row r="53" spans="2:10">
      <c r="B53" s="244"/>
      <c r="C53" s="244"/>
      <c r="D53" s="244"/>
      <c r="E53" s="244"/>
      <c r="F53" s="244"/>
      <c r="G53" s="244"/>
      <c r="H53" s="244"/>
      <c r="I53" s="244"/>
      <c r="J53" s="210"/>
    </row>
    <row r="54" spans="2:10">
      <c r="B54" s="244"/>
      <c r="C54" s="244"/>
      <c r="D54" s="244"/>
      <c r="E54" s="244"/>
      <c r="F54" s="244"/>
      <c r="G54" s="244"/>
      <c r="H54" s="244"/>
      <c r="I54" s="244"/>
      <c r="J54" s="210"/>
    </row>
    <row r="55" spans="2:10">
      <c r="B55" s="244"/>
      <c r="C55" s="244"/>
      <c r="D55" s="244"/>
      <c r="E55" s="244"/>
      <c r="F55" s="244"/>
      <c r="G55" s="244"/>
      <c r="H55" s="244"/>
      <c r="I55" s="244"/>
      <c r="J55" s="210"/>
    </row>
    <row r="56" spans="2:10">
      <c r="B56" s="244"/>
      <c r="C56" s="244"/>
      <c r="D56" s="244"/>
      <c r="E56" s="244"/>
      <c r="F56" s="244"/>
      <c r="G56" s="244"/>
      <c r="H56" s="244"/>
      <c r="I56" s="244"/>
      <c r="J56" s="210"/>
    </row>
    <row r="57" spans="2:10">
      <c r="B57" s="244"/>
      <c r="C57" s="244"/>
      <c r="D57" s="244"/>
      <c r="E57" s="244"/>
      <c r="F57" s="244"/>
      <c r="G57" s="244"/>
      <c r="H57" s="244"/>
      <c r="I57" s="244"/>
      <c r="J57" s="210"/>
    </row>
    <row r="58" spans="2:10">
      <c r="B58" s="244"/>
      <c r="C58" s="244"/>
      <c r="D58" s="244"/>
      <c r="E58" s="244"/>
      <c r="F58" s="244"/>
      <c r="G58" s="244"/>
      <c r="H58" s="244"/>
      <c r="I58" s="244"/>
      <c r="J58" s="210"/>
    </row>
    <row r="59" spans="2:10" ht="16.5" customHeight="1">
      <c r="B59" s="251" t="s">
        <v>23</v>
      </c>
      <c r="C59" s="251"/>
      <c r="D59" s="251"/>
      <c r="E59" s="210"/>
      <c r="F59" s="210"/>
      <c r="G59" s="210"/>
      <c r="H59" s="210"/>
      <c r="I59" s="210"/>
      <c r="J59" s="210"/>
    </row>
    <row r="60" spans="2:10" ht="8.25" customHeight="1">
      <c r="B60" s="210"/>
      <c r="C60" s="210"/>
      <c r="D60" s="210"/>
      <c r="E60" s="210"/>
      <c r="F60" s="210"/>
      <c r="G60" s="210"/>
      <c r="H60" s="210"/>
      <c r="I60" s="210"/>
      <c r="J60" s="210"/>
    </row>
    <row r="61" spans="2:10" ht="14.25" customHeight="1">
      <c r="B61" s="244" t="s">
        <v>24</v>
      </c>
      <c r="C61" s="244"/>
      <c r="D61" s="244"/>
      <c r="E61" s="244"/>
      <c r="F61" s="244"/>
      <c r="G61" s="244"/>
      <c r="H61" s="244"/>
      <c r="I61" s="244"/>
      <c r="J61" s="210"/>
    </row>
    <row r="62" spans="2:10">
      <c r="B62" s="244"/>
      <c r="C62" s="244"/>
      <c r="D62" s="244"/>
      <c r="E62" s="244"/>
      <c r="F62" s="244"/>
      <c r="G62" s="244"/>
      <c r="H62" s="244"/>
      <c r="I62" s="244"/>
      <c r="J62" s="210"/>
    </row>
    <row r="63" spans="2:10">
      <c r="B63" s="244"/>
      <c r="C63" s="244"/>
      <c r="D63" s="244"/>
      <c r="E63" s="244"/>
      <c r="F63" s="244"/>
      <c r="G63" s="244"/>
      <c r="H63" s="244"/>
      <c r="I63" s="244"/>
      <c r="J63" s="210"/>
    </row>
    <row r="64" spans="2:10">
      <c r="B64" s="244" t="s">
        <v>25</v>
      </c>
      <c r="C64" s="244"/>
      <c r="D64" s="244"/>
      <c r="E64" s="244"/>
      <c r="F64" s="244"/>
      <c r="G64" s="244"/>
      <c r="H64" s="244"/>
      <c r="I64" s="244"/>
      <c r="J64" s="210"/>
    </row>
    <row r="65" spans="2:19">
      <c r="B65" s="244"/>
      <c r="C65" s="244"/>
      <c r="D65" s="244"/>
      <c r="E65" s="244"/>
      <c r="F65" s="244"/>
      <c r="G65" s="244"/>
      <c r="H65" s="244"/>
      <c r="I65" s="244"/>
      <c r="J65" s="210"/>
    </row>
    <row r="66" spans="2:19">
      <c r="B66" s="244"/>
      <c r="C66" s="244"/>
      <c r="D66" s="244"/>
      <c r="E66" s="244"/>
      <c r="F66" s="244"/>
      <c r="G66" s="244"/>
      <c r="H66" s="244"/>
      <c r="I66" s="244"/>
      <c r="J66" s="210"/>
    </row>
    <row r="67" spans="2:19">
      <c r="B67" s="244" t="s">
        <v>26</v>
      </c>
      <c r="C67" s="244"/>
      <c r="D67" s="244"/>
      <c r="E67" s="244"/>
      <c r="F67" s="244"/>
      <c r="G67" s="244"/>
      <c r="H67" s="244"/>
      <c r="I67" s="244"/>
      <c r="J67" s="210"/>
    </row>
    <row r="68" spans="2:19">
      <c r="B68" s="244"/>
      <c r="C68" s="244"/>
      <c r="D68" s="244"/>
      <c r="E68" s="244"/>
      <c r="F68" s="244"/>
      <c r="G68" s="244"/>
      <c r="H68" s="244"/>
      <c r="I68" s="244"/>
      <c r="J68" s="210"/>
    </row>
    <row r="69" spans="2:19">
      <c r="B69" s="244"/>
      <c r="C69" s="244"/>
      <c r="D69" s="244"/>
      <c r="E69" s="244"/>
      <c r="F69" s="244"/>
      <c r="G69" s="244"/>
      <c r="H69" s="244"/>
      <c r="I69" s="244"/>
      <c r="L69" s="254" t="s">
        <v>27</v>
      </c>
      <c r="M69" s="254"/>
      <c r="N69" s="254"/>
      <c r="O69" s="254"/>
      <c r="P69" s="254"/>
      <c r="Q69" s="254"/>
      <c r="R69" s="254"/>
      <c r="S69" s="254"/>
    </row>
    <row r="71" spans="2:19" ht="21" thickBot="1">
      <c r="B71" s="247" t="s">
        <v>28</v>
      </c>
      <c r="C71" s="247"/>
      <c r="D71" s="247"/>
      <c r="E71" s="217"/>
      <c r="F71" s="217"/>
      <c r="G71" s="217"/>
      <c r="H71" s="217"/>
      <c r="I71" s="217"/>
      <c r="J71" s="217"/>
      <c r="K71" s="41"/>
      <c r="L71" s="41"/>
      <c r="M71" s="41"/>
      <c r="N71" s="41"/>
      <c r="O71" s="41"/>
      <c r="P71" s="41"/>
      <c r="Q71" s="41"/>
      <c r="R71" s="41"/>
      <c r="S71" s="41"/>
    </row>
    <row r="72" spans="2:19" ht="15.75">
      <c r="B72" s="43"/>
      <c r="C72" s="43"/>
      <c r="D72" s="43"/>
      <c r="E72" s="43"/>
      <c r="F72" s="43"/>
      <c r="G72" s="43"/>
      <c r="H72" s="43"/>
      <c r="I72" s="43"/>
      <c r="J72" s="43"/>
    </row>
    <row r="73" spans="2:19">
      <c r="B73" s="252" t="s">
        <v>29</v>
      </c>
      <c r="C73" s="244" t="s">
        <v>30</v>
      </c>
      <c r="D73" s="244"/>
      <c r="E73" s="244"/>
      <c r="F73" s="244"/>
      <c r="G73" s="244"/>
      <c r="H73" s="244"/>
      <c r="I73" s="244"/>
      <c r="J73" s="244"/>
    </row>
    <row r="74" spans="2:19">
      <c r="B74" s="252"/>
      <c r="C74" s="244"/>
      <c r="D74" s="244"/>
      <c r="E74" s="244"/>
      <c r="F74" s="244"/>
      <c r="G74" s="244"/>
      <c r="H74" s="244"/>
      <c r="I74" s="244"/>
      <c r="J74" s="244"/>
    </row>
    <row r="75" spans="2:19" ht="15.75">
      <c r="B75" s="43"/>
    </row>
    <row r="76" spans="2:19">
      <c r="B76" s="252" t="s">
        <v>31</v>
      </c>
      <c r="C76" s="244" t="s">
        <v>32</v>
      </c>
      <c r="D76" s="244"/>
      <c r="E76" s="244"/>
      <c r="F76" s="244"/>
      <c r="G76" s="244"/>
      <c r="H76" s="244"/>
      <c r="I76" s="244"/>
      <c r="J76" s="244"/>
    </row>
    <row r="77" spans="2:19">
      <c r="B77" s="252"/>
      <c r="C77" s="244"/>
      <c r="D77" s="244"/>
      <c r="E77" s="244"/>
      <c r="F77" s="244"/>
      <c r="G77" s="244"/>
      <c r="H77" s="244"/>
      <c r="I77" s="244"/>
      <c r="J77" s="244"/>
    </row>
    <row r="79" spans="2:19">
      <c r="B79" s="252" t="s">
        <v>33</v>
      </c>
      <c r="C79" s="244" t="s">
        <v>34</v>
      </c>
      <c r="D79" s="244"/>
      <c r="E79" s="244"/>
      <c r="F79" s="244"/>
      <c r="G79" s="244"/>
      <c r="H79" s="244"/>
      <c r="I79" s="244"/>
      <c r="J79" s="244"/>
    </row>
    <row r="80" spans="2:19">
      <c r="B80" s="252"/>
      <c r="C80" s="244"/>
      <c r="D80" s="244"/>
      <c r="E80" s="244"/>
      <c r="F80" s="244"/>
      <c r="G80" s="244"/>
      <c r="H80" s="244"/>
      <c r="I80" s="244"/>
      <c r="J80" s="244"/>
    </row>
    <row r="82" spans="2:19">
      <c r="B82" s="252" t="s">
        <v>35</v>
      </c>
      <c r="C82" s="244" t="s">
        <v>36</v>
      </c>
      <c r="D82" s="244"/>
      <c r="E82" s="244"/>
      <c r="F82" s="244"/>
      <c r="G82" s="244"/>
      <c r="H82" s="244"/>
      <c r="I82" s="244"/>
      <c r="J82" s="244"/>
    </row>
    <row r="83" spans="2:19">
      <c r="B83" s="252"/>
      <c r="C83" s="244"/>
      <c r="D83" s="244"/>
      <c r="E83" s="244"/>
      <c r="F83" s="244"/>
      <c r="G83" s="244"/>
      <c r="H83" s="244"/>
      <c r="I83" s="244"/>
      <c r="J83" s="244"/>
    </row>
    <row r="87" spans="2:19" ht="21" thickBot="1">
      <c r="B87" s="247" t="s">
        <v>37</v>
      </c>
      <c r="C87" s="247"/>
      <c r="D87" s="247"/>
      <c r="E87" s="208"/>
      <c r="F87" s="208"/>
      <c r="G87" s="208"/>
      <c r="H87" s="208"/>
      <c r="I87" s="208"/>
      <c r="J87" s="208"/>
      <c r="K87" s="208"/>
      <c r="L87" s="208"/>
      <c r="M87" s="208"/>
      <c r="N87" s="208"/>
      <c r="O87" s="208"/>
      <c r="P87" s="208"/>
      <c r="Q87" s="208"/>
      <c r="R87" s="208"/>
      <c r="S87" s="208"/>
    </row>
    <row r="89" spans="2:19">
      <c r="B89" s="250" t="s">
        <v>38</v>
      </c>
      <c r="C89" s="250"/>
      <c r="D89" s="250"/>
      <c r="E89" s="250"/>
      <c r="F89" s="250"/>
      <c r="G89" s="250"/>
      <c r="H89" s="250"/>
      <c r="I89" s="250"/>
      <c r="J89" s="250"/>
      <c r="K89" s="250"/>
      <c r="L89" s="250"/>
      <c r="M89" s="250"/>
      <c r="N89" s="250"/>
      <c r="O89" s="250"/>
      <c r="P89" s="250"/>
      <c r="Q89" s="250"/>
      <c r="R89" s="250"/>
      <c r="S89" s="250"/>
    </row>
    <row r="90" spans="2:19">
      <c r="B90" s="250"/>
      <c r="C90" s="250"/>
      <c r="D90" s="250"/>
      <c r="E90" s="250"/>
      <c r="F90" s="250"/>
      <c r="G90" s="250"/>
      <c r="H90" s="250"/>
      <c r="I90" s="250"/>
      <c r="J90" s="250"/>
      <c r="K90" s="250"/>
      <c r="L90" s="250"/>
      <c r="M90" s="250"/>
      <c r="N90" s="250"/>
      <c r="O90" s="250"/>
      <c r="P90" s="250"/>
      <c r="Q90" s="250"/>
      <c r="R90" s="250"/>
      <c r="S90" s="250"/>
    </row>
    <row r="91" spans="2:19">
      <c r="B91" s="253" t="s">
        <v>39</v>
      </c>
      <c r="C91" s="253"/>
      <c r="D91" s="253"/>
      <c r="E91" s="253"/>
      <c r="F91" s="253"/>
      <c r="G91" s="253"/>
      <c r="H91" s="253"/>
      <c r="I91" s="253"/>
      <c r="J91" s="253"/>
      <c r="K91" s="253"/>
      <c r="L91" s="253"/>
      <c r="M91" s="253"/>
      <c r="N91" s="253"/>
      <c r="O91" s="253"/>
      <c r="P91" s="253"/>
      <c r="Q91" s="253"/>
      <c r="R91" s="253"/>
      <c r="S91" s="253"/>
    </row>
    <row r="92" spans="2:19">
      <c r="B92" s="253"/>
      <c r="C92" s="253"/>
      <c r="D92" s="253"/>
      <c r="E92" s="253"/>
      <c r="F92" s="253"/>
      <c r="G92" s="253"/>
      <c r="H92" s="253"/>
      <c r="I92" s="253"/>
      <c r="J92" s="253"/>
      <c r="K92" s="253"/>
      <c r="L92" s="253"/>
      <c r="M92" s="253"/>
      <c r="N92" s="253"/>
      <c r="O92" s="253"/>
      <c r="P92" s="253"/>
      <c r="Q92" s="253"/>
      <c r="R92" s="253"/>
      <c r="S92" s="253"/>
    </row>
    <row r="94" spans="2:19">
      <c r="B94" s="250" t="s">
        <v>40</v>
      </c>
      <c r="C94" s="250"/>
      <c r="D94" s="250"/>
      <c r="E94" s="250"/>
      <c r="F94" s="250"/>
      <c r="G94" s="250"/>
      <c r="H94" s="250"/>
      <c r="I94" s="250"/>
      <c r="J94" s="250"/>
      <c r="K94" s="250"/>
      <c r="L94" s="250"/>
      <c r="M94" s="250"/>
      <c r="N94" s="250"/>
      <c r="O94" s="250"/>
      <c r="P94" s="250"/>
      <c r="Q94" s="250"/>
      <c r="R94" s="250"/>
      <c r="S94" s="250"/>
    </row>
    <row r="95" spans="2:19">
      <c r="B95" s="250"/>
      <c r="C95" s="250"/>
      <c r="D95" s="250"/>
      <c r="E95" s="250"/>
      <c r="F95" s="250"/>
      <c r="G95" s="250"/>
      <c r="H95" s="250"/>
      <c r="I95" s="250"/>
      <c r="J95" s="250"/>
      <c r="K95" s="250"/>
      <c r="L95" s="250"/>
      <c r="M95" s="250"/>
      <c r="N95" s="250"/>
      <c r="O95" s="250"/>
      <c r="P95" s="250"/>
      <c r="Q95" s="250"/>
      <c r="R95" s="250"/>
      <c r="S95" s="250"/>
    </row>
  </sheetData>
  <sheetProtection algorithmName="SHA-512" hashValue="H5g+K3C+eqQH1wXqZy032+aS0SE4hwcCWEfxKLmnhM1PQWbhUK66JlOPN/Kv6L6JoW74cr2Q5EVtCz3mhHWnDg==" saltValue="lsZGC7W1+HVKftOZNO0jYg==" spinCount="100000" sheet="1" objects="1" scenarios="1"/>
  <mergeCells count="23">
    <mergeCell ref="B91:S92"/>
    <mergeCell ref="B94:S95"/>
    <mergeCell ref="B61:I63"/>
    <mergeCell ref="B64:I66"/>
    <mergeCell ref="B67:I69"/>
    <mergeCell ref="B87:D87"/>
    <mergeCell ref="L69:S69"/>
    <mergeCell ref="B2:C2"/>
    <mergeCell ref="B19:S43"/>
    <mergeCell ref="B46:I58"/>
    <mergeCell ref="B59:D59"/>
    <mergeCell ref="B89:S90"/>
    <mergeCell ref="B14:S17"/>
    <mergeCell ref="B79:B80"/>
    <mergeCell ref="C79:J80"/>
    <mergeCell ref="B82:B83"/>
    <mergeCell ref="C82:J83"/>
    <mergeCell ref="B3:S13"/>
    <mergeCell ref="C73:J74"/>
    <mergeCell ref="B73:B74"/>
    <mergeCell ref="B71:D71"/>
    <mergeCell ref="B76:B77"/>
    <mergeCell ref="C76:J7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S35"/>
  <sheetViews>
    <sheetView workbookViewId="0">
      <selection activeCell="F2" sqref="F2"/>
    </sheetView>
  </sheetViews>
  <sheetFormatPr baseColWidth="10" defaultColWidth="11.42578125" defaultRowHeight="14.25"/>
  <cols>
    <col min="1" max="1" width="19" style="183" customWidth="1"/>
    <col min="2" max="3" width="11.42578125" style="183"/>
    <col min="4" max="4" width="5" style="183" customWidth="1"/>
    <col min="5" max="5" width="18.7109375" style="183" customWidth="1"/>
    <col min="6" max="8" width="11.42578125" style="183"/>
    <col min="9" max="9" width="16.5703125" style="183" customWidth="1"/>
    <col min="10" max="10" width="13.28515625" style="183" customWidth="1"/>
    <col min="11" max="16384" width="11.42578125" style="183"/>
  </cols>
  <sheetData>
    <row r="1" spans="1:19" ht="51.75" customHeight="1">
      <c r="A1" s="255" t="s">
        <v>41</v>
      </c>
      <c r="B1" s="256"/>
      <c r="C1" s="256"/>
      <c r="D1" s="182"/>
      <c r="E1" s="255" t="s">
        <v>42</v>
      </c>
      <c r="F1" s="256"/>
      <c r="G1" s="256"/>
      <c r="H1" s="256"/>
      <c r="I1" s="256"/>
      <c r="J1" s="256"/>
      <c r="K1" s="256"/>
      <c r="L1" s="256"/>
      <c r="M1" s="262"/>
    </row>
    <row r="2" spans="1:19">
      <c r="A2" s="2" t="s">
        <v>43</v>
      </c>
      <c r="B2" s="3">
        <v>0.4</v>
      </c>
      <c r="C2" s="4" t="s">
        <v>44</v>
      </c>
      <c r="D2" s="184"/>
      <c r="E2" s="2" t="s">
        <v>45</v>
      </c>
      <c r="F2" s="3">
        <v>1</v>
      </c>
      <c r="G2" s="4" t="s">
        <v>46</v>
      </c>
      <c r="M2" s="184"/>
    </row>
    <row r="3" spans="1:19">
      <c r="A3" s="2" t="s">
        <v>47</v>
      </c>
      <c r="B3" s="3">
        <v>1</v>
      </c>
      <c r="C3" s="4" t="s">
        <v>48</v>
      </c>
      <c r="D3" s="184"/>
      <c r="E3" s="2" t="s">
        <v>47</v>
      </c>
      <c r="F3" s="3">
        <v>1</v>
      </c>
      <c r="G3" s="4" t="s">
        <v>48</v>
      </c>
      <c r="M3" s="184"/>
    </row>
    <row r="4" spans="1:19">
      <c r="A4" s="2" t="s">
        <v>49</v>
      </c>
      <c r="B4" s="3">
        <v>1</v>
      </c>
      <c r="C4" s="4" t="s">
        <v>44</v>
      </c>
      <c r="D4" s="184"/>
      <c r="E4" s="2" t="s">
        <v>49</v>
      </c>
      <c r="F4" s="3">
        <v>1</v>
      </c>
      <c r="G4" s="4" t="s">
        <v>44</v>
      </c>
      <c r="M4" s="184"/>
    </row>
    <row r="5" spans="1:19" ht="20.25">
      <c r="A5" s="2" t="s">
        <v>50</v>
      </c>
      <c r="B5" s="3">
        <v>5.0000000000000001E-3</v>
      </c>
      <c r="C5" s="4" t="s">
        <v>48</v>
      </c>
      <c r="D5" s="184"/>
      <c r="E5" s="2" t="s">
        <v>50</v>
      </c>
      <c r="F5" s="3">
        <v>1E-4</v>
      </c>
      <c r="G5" s="4" t="s">
        <v>48</v>
      </c>
      <c r="M5" s="184"/>
      <c r="P5" s="263"/>
      <c r="Q5" s="263"/>
      <c r="R5" s="263"/>
      <c r="S5" s="263"/>
    </row>
    <row r="6" spans="1:19" ht="15.75">
      <c r="A6" s="2" t="s">
        <v>51</v>
      </c>
      <c r="B6" s="3">
        <v>7.1000000000000004E-3</v>
      </c>
      <c r="C6" s="4"/>
      <c r="D6" s="184"/>
      <c r="E6" s="2" t="s">
        <v>51</v>
      </c>
      <c r="F6" s="3">
        <v>1.7999999999999999E-2</v>
      </c>
      <c r="G6" s="4"/>
      <c r="M6" s="184"/>
      <c r="P6" s="264"/>
      <c r="Q6" s="264"/>
      <c r="R6" s="264"/>
      <c r="S6" s="264"/>
    </row>
    <row r="7" spans="1:19" ht="19.5" thickBot="1">
      <c r="A7" s="185"/>
      <c r="B7" s="186"/>
      <c r="C7" s="186"/>
      <c r="D7" s="187"/>
      <c r="E7" s="5" t="s">
        <v>52</v>
      </c>
      <c r="F7" s="6">
        <f>1/3</f>
        <v>0.33333333333333331</v>
      </c>
      <c r="G7" s="7"/>
      <c r="H7" s="186"/>
      <c r="I7" s="186"/>
      <c r="J7" s="186"/>
      <c r="K7" s="186"/>
      <c r="L7" s="186"/>
      <c r="M7" s="187"/>
      <c r="P7" s="265"/>
      <c r="Q7" s="265"/>
      <c r="R7" s="265"/>
      <c r="S7" s="265"/>
    </row>
    <row r="8" spans="1:19">
      <c r="A8" s="188"/>
      <c r="D8" s="184"/>
      <c r="E8" s="188"/>
      <c r="M8" s="184"/>
    </row>
    <row r="9" spans="1:19">
      <c r="A9" s="188"/>
      <c r="D9" s="184"/>
      <c r="E9" s="188"/>
      <c r="M9" s="184"/>
    </row>
    <row r="10" spans="1:19">
      <c r="A10" s="50" t="s">
        <v>53</v>
      </c>
      <c r="B10" s="25">
        <f>+(B4+B3*B2)*B2</f>
        <v>0.55999999999999994</v>
      </c>
      <c r="C10" s="23" t="s">
        <v>54</v>
      </c>
      <c r="D10" s="184"/>
      <c r="E10" s="50" t="s">
        <v>53</v>
      </c>
      <c r="F10" s="25">
        <v>2.5554240035974201</v>
      </c>
      <c r="G10" s="23" t="s">
        <v>54</v>
      </c>
      <c r="M10" s="184"/>
    </row>
    <row r="11" spans="1:19">
      <c r="A11" s="50" t="s">
        <v>55</v>
      </c>
      <c r="B11" s="25">
        <f>+B4+2*B2*(1+B3^2)^0.5</f>
        <v>2.1313708498984765</v>
      </c>
      <c r="C11" s="23" t="s">
        <v>44</v>
      </c>
      <c r="D11" s="184"/>
      <c r="E11" s="50" t="s">
        <v>55</v>
      </c>
      <c r="F11" s="25">
        <v>4.3232321659471102</v>
      </c>
      <c r="G11" s="23" t="s">
        <v>44</v>
      </c>
      <c r="M11" s="184"/>
    </row>
    <row r="12" spans="1:19">
      <c r="A12" s="50" t="s">
        <v>56</v>
      </c>
      <c r="B12" s="25">
        <f>+B10/B11</f>
        <v>0.262741699796952</v>
      </c>
      <c r="C12" s="23" t="s">
        <v>44</v>
      </c>
      <c r="D12" s="184"/>
      <c r="E12" s="50" t="s">
        <v>56</v>
      </c>
      <c r="F12" s="25">
        <v>0.59109108775739128</v>
      </c>
      <c r="G12" s="23" t="s">
        <v>44</v>
      </c>
      <c r="M12" s="184"/>
    </row>
    <row r="13" spans="1:19">
      <c r="A13" s="50" t="s">
        <v>57</v>
      </c>
      <c r="B13" s="25">
        <f>+B4+2*B3*B2</f>
        <v>1.8</v>
      </c>
      <c r="C13" s="23" t="s">
        <v>44</v>
      </c>
      <c r="D13" s="184"/>
      <c r="E13" s="50" t="s">
        <v>57</v>
      </c>
      <c r="F13" s="25">
        <v>3.3498799999984596</v>
      </c>
      <c r="G13" s="23" t="s">
        <v>44</v>
      </c>
      <c r="M13" s="184"/>
    </row>
    <row r="14" spans="1:19">
      <c r="A14" s="50" t="s">
        <v>58</v>
      </c>
      <c r="B14" s="25">
        <f>+B17/B10</f>
        <v>4.0855072947147537</v>
      </c>
      <c r="C14" s="23" t="s">
        <v>59</v>
      </c>
      <c r="D14" s="184"/>
      <c r="E14" s="50" t="s">
        <v>58</v>
      </c>
      <c r="F14" s="25">
        <v>0.39132449197950769</v>
      </c>
      <c r="G14" s="23" t="s">
        <v>59</v>
      </c>
      <c r="M14" s="184"/>
    </row>
    <row r="15" spans="1:19">
      <c r="A15" s="50" t="s">
        <v>60</v>
      </c>
      <c r="B15" s="25">
        <f>+B2+B14^2/(9.81*2)</f>
        <v>1.2507324085202582</v>
      </c>
      <c r="C15" s="23" t="s">
        <v>61</v>
      </c>
      <c r="D15" s="184"/>
      <c r="E15" s="50" t="s">
        <v>62</v>
      </c>
      <c r="F15" s="25">
        <v>1.18274503863445</v>
      </c>
      <c r="G15" s="23" t="s">
        <v>61</v>
      </c>
      <c r="M15" s="184"/>
    </row>
    <row r="16" spans="1:19">
      <c r="A16" s="50" t="s">
        <v>63</v>
      </c>
      <c r="B16" s="25">
        <f>+B14/(9.81*B10/B13)^0.5</f>
        <v>2.3385880472569531</v>
      </c>
      <c r="C16" s="23"/>
      <c r="D16" s="184"/>
      <c r="E16" s="50" t="s">
        <v>63</v>
      </c>
      <c r="F16" s="25">
        <v>0.14304927677320509</v>
      </c>
      <c r="G16" s="23"/>
      <c r="M16" s="184"/>
    </row>
    <row r="17" spans="1:17" ht="15">
      <c r="A17" s="50" t="s">
        <v>45</v>
      </c>
      <c r="B17" s="25">
        <f>+B10^(5/3)*B11^(-2/3)*B6^(-1)*B5^0.5</f>
        <v>2.287884085040262</v>
      </c>
      <c r="C17" s="23" t="s">
        <v>46</v>
      </c>
      <c r="D17" s="184"/>
      <c r="E17" s="189" t="s">
        <v>64</v>
      </c>
      <c r="F17" s="59">
        <v>1.1749399999992298</v>
      </c>
      <c r="G17" s="106" t="s">
        <v>44</v>
      </c>
      <c r="M17" s="184"/>
    </row>
    <row r="18" spans="1:17" ht="15">
      <c r="A18" s="188"/>
      <c r="D18" s="184"/>
      <c r="E18" s="189" t="s">
        <v>65</v>
      </c>
      <c r="F18" s="59">
        <v>0.40528399999607462</v>
      </c>
      <c r="G18" s="106" t="s">
        <v>44</v>
      </c>
      <c r="M18" s="184"/>
    </row>
    <row r="19" spans="1:17">
      <c r="A19" s="188"/>
      <c r="D19" s="184"/>
      <c r="E19" s="50" t="s">
        <v>66</v>
      </c>
      <c r="F19" s="260" t="str">
        <f>+IF(F18&gt;F17,"Supercrítico","Subcrítico")</f>
        <v>Subcrítico</v>
      </c>
      <c r="G19" s="261"/>
      <c r="M19" s="184"/>
    </row>
    <row r="20" spans="1:17">
      <c r="A20" s="188"/>
      <c r="D20" s="184"/>
      <c r="E20" s="50" t="s">
        <v>67</v>
      </c>
      <c r="F20" s="25">
        <f>+F4+2*F3*F24</f>
        <v>4.2</v>
      </c>
      <c r="G20" s="23"/>
      <c r="M20" s="184"/>
    </row>
    <row r="21" spans="1:17">
      <c r="A21" s="188"/>
      <c r="D21" s="184"/>
      <c r="E21" s="188"/>
      <c r="M21" s="184"/>
    </row>
    <row r="22" spans="1:17" ht="15">
      <c r="A22" s="188"/>
      <c r="D22" s="184"/>
      <c r="E22" s="257" t="s">
        <v>68</v>
      </c>
      <c r="F22" s="258"/>
      <c r="G22" s="259"/>
      <c r="M22" s="184"/>
    </row>
    <row r="23" spans="1:17">
      <c r="A23" s="188"/>
      <c r="D23" s="184"/>
      <c r="E23" s="50" t="s">
        <v>69</v>
      </c>
      <c r="F23" s="29">
        <f>+F17*F7</f>
        <v>0.3916466666664099</v>
      </c>
      <c r="G23" s="23" t="s">
        <v>44</v>
      </c>
      <c r="M23" s="184"/>
    </row>
    <row r="24" spans="1:17">
      <c r="A24" s="188"/>
      <c r="D24" s="184"/>
      <c r="E24" s="50" t="s">
        <v>70</v>
      </c>
      <c r="F24" s="29">
        <f>ROUNDUP(F17*1.33333,1)</f>
        <v>1.6</v>
      </c>
      <c r="G24" s="23" t="s">
        <v>44</v>
      </c>
      <c r="M24" s="184"/>
    </row>
    <row r="25" spans="1:17">
      <c r="A25" s="188"/>
      <c r="D25" s="184"/>
      <c r="E25" s="190" t="s">
        <v>71</v>
      </c>
      <c r="F25" s="191">
        <v>80</v>
      </c>
      <c r="G25" s="192" t="s">
        <v>44</v>
      </c>
      <c r="M25" s="184"/>
    </row>
    <row r="26" spans="1:17">
      <c r="A26" s="188"/>
      <c r="D26" s="184"/>
      <c r="E26" s="51" t="s">
        <v>72</v>
      </c>
      <c r="F26" s="28" t="s">
        <v>73</v>
      </c>
      <c r="G26" s="28" t="s">
        <v>43</v>
      </c>
      <c r="H26" s="28" t="s">
        <v>74</v>
      </c>
      <c r="M26" s="184"/>
      <c r="Q26" s="193"/>
    </row>
    <row r="27" spans="1:17">
      <c r="A27" s="188"/>
      <c r="D27" s="184"/>
      <c r="E27" s="51">
        <v>1</v>
      </c>
      <c r="F27" s="194">
        <v>0</v>
      </c>
      <c r="G27" s="194">
        <v>0</v>
      </c>
      <c r="H27" s="194">
        <v>0</v>
      </c>
      <c r="M27" s="184"/>
    </row>
    <row r="28" spans="1:17">
      <c r="A28" s="188"/>
      <c r="D28" s="184"/>
      <c r="E28" s="51">
        <v>2</v>
      </c>
      <c r="F28" s="194">
        <f>+F3*F24</f>
        <v>1.6</v>
      </c>
      <c r="G28" s="194">
        <v>0</v>
      </c>
      <c r="H28" s="194">
        <f>+-F24</f>
        <v>-1.6</v>
      </c>
      <c r="M28" s="184"/>
    </row>
    <row r="29" spans="1:17">
      <c r="A29" s="188"/>
      <c r="D29" s="184"/>
      <c r="E29" s="51">
        <v>3</v>
      </c>
      <c r="F29" s="194">
        <f>+F28+F4</f>
        <v>2.6</v>
      </c>
      <c r="G29" s="194">
        <v>0</v>
      </c>
      <c r="H29" s="194">
        <f>+H28</f>
        <v>-1.6</v>
      </c>
      <c r="M29" s="184"/>
    </row>
    <row r="30" spans="1:17">
      <c r="A30" s="188"/>
      <c r="D30" s="184"/>
      <c r="E30" s="51">
        <v>4</v>
      </c>
      <c r="F30" s="194">
        <f>+F29+F24*F3</f>
        <v>4.2</v>
      </c>
      <c r="G30" s="194">
        <v>0</v>
      </c>
      <c r="H30" s="194">
        <f>+H27</f>
        <v>0</v>
      </c>
      <c r="M30" s="184"/>
    </row>
    <row r="31" spans="1:17">
      <c r="A31" s="188"/>
      <c r="D31" s="184"/>
      <c r="E31" s="51">
        <v>5</v>
      </c>
      <c r="F31" s="194">
        <f>+F30</f>
        <v>4.2</v>
      </c>
      <c r="G31" s="194">
        <f>+F25</f>
        <v>80</v>
      </c>
      <c r="H31" s="194">
        <f>+-F25*F5</f>
        <v>-8.0000000000000002E-3</v>
      </c>
      <c r="M31" s="184"/>
    </row>
    <row r="32" spans="1:17">
      <c r="A32" s="188"/>
      <c r="D32" s="184"/>
      <c r="E32" s="51">
        <v>6</v>
      </c>
      <c r="F32" s="194">
        <f>+F29</f>
        <v>2.6</v>
      </c>
      <c r="G32" s="194">
        <f>+F25</f>
        <v>80</v>
      </c>
      <c r="H32" s="194">
        <f>+-F25*F5+-F24</f>
        <v>-1.6080000000000001</v>
      </c>
      <c r="M32" s="184"/>
      <c r="P32" s="195"/>
    </row>
    <row r="33" spans="1:13">
      <c r="A33" s="188"/>
      <c r="D33" s="184"/>
      <c r="E33" s="51">
        <v>7</v>
      </c>
      <c r="F33" s="194">
        <f>+F28</f>
        <v>1.6</v>
      </c>
      <c r="G33" s="194">
        <f>+F25</f>
        <v>80</v>
      </c>
      <c r="H33" s="194">
        <f>+-F25*F5+-F24</f>
        <v>-1.6080000000000001</v>
      </c>
      <c r="M33" s="184"/>
    </row>
    <row r="34" spans="1:13">
      <c r="A34" s="188"/>
      <c r="D34" s="184"/>
      <c r="E34" s="51">
        <v>8</v>
      </c>
      <c r="F34" s="194">
        <f>+F27</f>
        <v>0</v>
      </c>
      <c r="G34" s="194">
        <f>+F25</f>
        <v>80</v>
      </c>
      <c r="H34" s="194">
        <f>+-F25*F5</f>
        <v>-8.0000000000000002E-3</v>
      </c>
      <c r="M34" s="184"/>
    </row>
    <row r="35" spans="1:13" ht="15" thickBot="1">
      <c r="A35" s="185"/>
      <c r="B35" s="186"/>
      <c r="C35" s="186"/>
      <c r="D35" s="187"/>
      <c r="E35" s="185"/>
      <c r="F35" s="186"/>
      <c r="G35" s="186"/>
      <c r="H35" s="186"/>
      <c r="I35" s="186"/>
      <c r="J35" s="186"/>
      <c r="K35" s="186"/>
      <c r="L35" s="186"/>
      <c r="M35" s="187"/>
    </row>
  </sheetData>
  <sheetProtection algorithmName="SHA-512" hashValue="FscixrrI+qOysCk5+/1mORIvtdbbylVLXBJ6QIBYW/gedEazP/xW45Y8HbTjHCjT5JhuU0Rj1z6peU3b2ur/Fg==" saltValue="mOGsNjVuKfXH1vgyBPhweg==" spinCount="100000" sheet="1" objects="1" scenarios="1" selectLockedCells="1"/>
  <mergeCells count="7">
    <mergeCell ref="A1:C1"/>
    <mergeCell ref="E22:G22"/>
    <mergeCell ref="F19:G19"/>
    <mergeCell ref="E1:M1"/>
    <mergeCell ref="P5:S5"/>
    <mergeCell ref="P6:S6"/>
    <mergeCell ref="P7:S7"/>
  </mergeCells>
  <pageMargins left="0.7" right="0.7" top="0.75" bottom="0.75" header="0.3" footer="0.3"/>
  <pageSetup scale="39" orientation="portrait" r:id="rId1"/>
  <ignoredErrors>
    <ignoredError sqref="F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tón1_Haga_clic_en">
                <anchor moveWithCells="1" sizeWithCells="1">
                  <from>
                    <xdr:col>4</xdr:col>
                    <xdr:colOff>0</xdr:colOff>
                    <xdr:row>7</xdr:row>
                    <xdr:rowOff>19050</xdr:rowOff>
                  </from>
                  <to>
                    <xdr:col>6</xdr:col>
                    <xdr:colOff>752475</xdr:colOff>
                    <xdr:row>8</xdr:row>
                    <xdr:rowOff>161925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O103"/>
  <sheetViews>
    <sheetView zoomScale="80" zoomScaleNormal="80" workbookViewId="0">
      <selection activeCell="D5" sqref="D5"/>
    </sheetView>
  </sheetViews>
  <sheetFormatPr baseColWidth="10" defaultColWidth="11.42578125" defaultRowHeight="14.25"/>
  <cols>
    <col min="1" max="1" width="17.5703125" style="21" customWidth="1"/>
    <col min="2" max="2" width="11.42578125" style="21"/>
    <col min="3" max="3" width="12.5703125" style="21" customWidth="1"/>
    <col min="4" max="4" width="11.85546875" style="21" bestFit="1" customWidth="1"/>
    <col min="5" max="6" width="11.42578125" style="21"/>
    <col min="7" max="9" width="15.28515625" style="21" customWidth="1"/>
    <col min="10" max="11" width="13.5703125" style="21" customWidth="1"/>
    <col min="12" max="12" width="15.28515625" style="21" customWidth="1"/>
    <col min="13" max="13" width="12.5703125" style="21" customWidth="1"/>
    <col min="14" max="14" width="17.7109375" style="21" bestFit="1" customWidth="1"/>
    <col min="15" max="16384" width="11.42578125" style="21"/>
  </cols>
  <sheetData>
    <row r="1" spans="1:15" ht="36" customHeight="1" thickBot="1">
      <c r="A1" s="269" t="s">
        <v>75</v>
      </c>
      <c r="B1" s="269"/>
      <c r="C1" s="269"/>
      <c r="D1" s="269"/>
      <c r="E1" s="269"/>
      <c r="F1" s="269"/>
      <c r="G1" s="269"/>
      <c r="H1" s="269"/>
      <c r="I1" s="269"/>
      <c r="J1" s="269"/>
      <c r="K1" s="269"/>
      <c r="L1" s="269"/>
      <c r="M1" s="269"/>
      <c r="N1" s="269"/>
      <c r="O1" s="269"/>
    </row>
    <row r="2" spans="1:15" ht="18.75" thickBot="1">
      <c r="A2" s="266" t="s">
        <v>76</v>
      </c>
      <c r="B2" s="267"/>
      <c r="C2" s="267"/>
      <c r="D2" s="268"/>
      <c r="E2" s="138"/>
      <c r="F2" s="138"/>
      <c r="G2" s="138"/>
      <c r="H2" s="138"/>
      <c r="I2" s="138"/>
      <c r="J2" s="138"/>
      <c r="K2" s="138"/>
      <c r="L2" s="138"/>
      <c r="M2" s="138"/>
      <c r="N2" s="138"/>
      <c r="O2" s="58"/>
    </row>
    <row r="3" spans="1:15" ht="63.75" customHeight="1">
      <c r="A3" s="272" t="s">
        <v>77</v>
      </c>
      <c r="B3" s="273"/>
      <c r="C3" s="167" t="s">
        <v>78</v>
      </c>
      <c r="D3" s="168" t="s">
        <v>79</v>
      </c>
      <c r="O3" s="49"/>
    </row>
    <row r="4" spans="1:15" ht="15" customHeight="1">
      <c r="A4" s="8" t="s">
        <v>45</v>
      </c>
      <c r="B4" s="9" t="s">
        <v>80</v>
      </c>
      <c r="C4" s="3">
        <v>2</v>
      </c>
      <c r="D4" s="218">
        <f>+C4</f>
        <v>2</v>
      </c>
      <c r="O4" s="49"/>
    </row>
    <row r="5" spans="1:15" ht="15" customHeight="1">
      <c r="A5" s="8" t="s">
        <v>47</v>
      </c>
      <c r="B5" s="9" t="s">
        <v>81</v>
      </c>
      <c r="C5" s="3">
        <v>1</v>
      </c>
      <c r="D5" s="218">
        <v>1.5</v>
      </c>
      <c r="O5" s="49"/>
    </row>
    <row r="6" spans="1:15" ht="15" customHeight="1">
      <c r="A6" s="8" t="s">
        <v>49</v>
      </c>
      <c r="B6" s="9" t="s">
        <v>82</v>
      </c>
      <c r="C6" s="3">
        <v>1.5</v>
      </c>
      <c r="D6" s="218">
        <v>2</v>
      </c>
      <c r="O6" s="49"/>
    </row>
    <row r="7" spans="1:15" ht="15" customHeight="1">
      <c r="A7" s="8" t="s">
        <v>50</v>
      </c>
      <c r="B7" s="9" t="s">
        <v>81</v>
      </c>
      <c r="C7" s="3">
        <v>5.0000000000000001E-4</v>
      </c>
      <c r="D7" s="218">
        <v>5.0000000000000001E-4</v>
      </c>
      <c r="O7" s="49"/>
    </row>
    <row r="8" spans="1:15">
      <c r="A8" s="8" t="s">
        <v>51</v>
      </c>
      <c r="B8" s="9"/>
      <c r="C8" s="3">
        <v>1.7999999999999999E-2</v>
      </c>
      <c r="D8" s="218">
        <v>1.7999999999999999E-2</v>
      </c>
      <c r="O8" s="49"/>
    </row>
    <row r="9" spans="1:15" ht="15" thickBot="1">
      <c r="A9" s="10" t="s">
        <v>83</v>
      </c>
      <c r="B9" s="11" t="s">
        <v>82</v>
      </c>
      <c r="C9" s="219">
        <v>100</v>
      </c>
      <c r="D9" s="220">
        <f>+C9-0.1</f>
        <v>99.9</v>
      </c>
      <c r="O9" s="49"/>
    </row>
    <row r="10" spans="1:15">
      <c r="A10" s="53"/>
      <c r="O10" s="49"/>
    </row>
    <row r="11" spans="1:15" ht="6.75" customHeight="1">
      <c r="A11" s="181"/>
      <c r="O11" s="49"/>
    </row>
    <row r="12" spans="1:15" ht="6.75" customHeight="1">
      <c r="A12" s="181"/>
      <c r="O12" s="49"/>
    </row>
    <row r="13" spans="1:15" ht="18" customHeight="1" thickBot="1">
      <c r="A13" s="54"/>
      <c r="B13" s="41"/>
      <c r="C13" s="41"/>
      <c r="D13" s="41"/>
      <c r="E13" s="41"/>
      <c r="F13" s="41"/>
      <c r="G13" s="41"/>
      <c r="H13" s="41"/>
      <c r="I13" s="41"/>
      <c r="J13" s="41"/>
      <c r="K13" s="41"/>
      <c r="L13" s="41"/>
      <c r="M13" s="41"/>
      <c r="N13" s="41"/>
      <c r="O13" s="55"/>
    </row>
    <row r="14" spans="1:15" ht="33" customHeight="1">
      <c r="A14" s="274" t="s">
        <v>84</v>
      </c>
      <c r="B14" s="275"/>
      <c r="C14" s="275"/>
      <c r="D14" s="275"/>
      <c r="E14" s="138"/>
      <c r="F14" s="58"/>
      <c r="G14" s="57"/>
      <c r="H14" s="275" t="s">
        <v>85</v>
      </c>
      <c r="I14" s="275"/>
      <c r="J14" s="275"/>
      <c r="K14" s="275"/>
      <c r="L14" s="275"/>
      <c r="M14" s="275"/>
      <c r="N14" s="275"/>
      <c r="O14" s="276"/>
    </row>
    <row r="15" spans="1:15">
      <c r="A15" s="53"/>
      <c r="F15" s="49"/>
      <c r="G15" s="53"/>
      <c r="O15" s="49"/>
    </row>
    <row r="16" spans="1:15">
      <c r="A16" s="287" t="s">
        <v>86</v>
      </c>
      <c r="B16" s="288"/>
      <c r="C16" s="261"/>
      <c r="D16" s="23">
        <v>0.5</v>
      </c>
      <c r="F16" s="49"/>
      <c r="G16" s="53"/>
      <c r="M16" s="169" t="s">
        <v>87</v>
      </c>
      <c r="N16" s="169">
        <f>0.8-0.26*D5^0.5</f>
        <v>0.48156633343818689</v>
      </c>
      <c r="O16" s="49"/>
    </row>
    <row r="17" spans="1:15">
      <c r="A17" s="287" t="s">
        <v>88</v>
      </c>
      <c r="B17" s="288"/>
      <c r="C17" s="261"/>
      <c r="D17" s="23">
        <v>12.5</v>
      </c>
      <c r="F17" s="49"/>
      <c r="G17" s="53"/>
      <c r="M17" s="130" t="s">
        <v>89</v>
      </c>
      <c r="N17" s="130">
        <f>+-C9+D9</f>
        <v>-9.9999999999994316E-2</v>
      </c>
      <c r="O17" s="49"/>
    </row>
    <row r="18" spans="1:15">
      <c r="A18" s="53"/>
      <c r="F18" s="49"/>
      <c r="G18" s="53"/>
      <c r="M18" s="130" t="s">
        <v>86</v>
      </c>
      <c r="N18" s="130">
        <v>0.2</v>
      </c>
      <c r="O18" s="49"/>
    </row>
    <row r="19" spans="1:15">
      <c r="A19" s="53"/>
      <c r="F19" s="49"/>
      <c r="G19" s="53"/>
      <c r="O19" s="49"/>
    </row>
    <row r="20" spans="1:15">
      <c r="A20" s="53"/>
      <c r="F20" s="49"/>
      <c r="G20" s="53"/>
      <c r="O20" s="49"/>
    </row>
    <row r="21" spans="1:15" ht="60">
      <c r="A21" s="277" t="s">
        <v>90</v>
      </c>
      <c r="B21" s="278"/>
      <c r="C21" s="108" t="s">
        <v>78</v>
      </c>
      <c r="D21" s="108" t="s">
        <v>79</v>
      </c>
      <c r="F21" s="49"/>
      <c r="G21" s="53"/>
      <c r="H21" s="294" t="s">
        <v>90</v>
      </c>
      <c r="I21" s="294"/>
      <c r="J21" s="108" t="s">
        <v>78</v>
      </c>
      <c r="K21" s="108" t="s">
        <v>79</v>
      </c>
      <c r="O21" s="49"/>
    </row>
    <row r="22" spans="1:15">
      <c r="A22" s="81" t="s">
        <v>53</v>
      </c>
      <c r="B22" s="36" t="s">
        <v>91</v>
      </c>
      <c r="C22" s="25">
        <v>1.3984801224990897</v>
      </c>
      <c r="D22" s="25">
        <v>2.4994349033458896</v>
      </c>
      <c r="F22" s="49"/>
      <c r="G22" s="53"/>
      <c r="H22" s="129" t="s">
        <v>53</v>
      </c>
      <c r="I22" s="80" t="s">
        <v>91</v>
      </c>
      <c r="J22" s="170">
        <v>1.3046036163995338</v>
      </c>
      <c r="K22" s="171">
        <v>2.4994349033458896</v>
      </c>
      <c r="O22" s="49"/>
    </row>
    <row r="23" spans="1:15">
      <c r="A23" s="53" t="s">
        <v>55</v>
      </c>
      <c r="B23" s="82" t="s">
        <v>82</v>
      </c>
      <c r="C23" s="25">
        <v>3.3394675805777654</v>
      </c>
      <c r="D23" s="25">
        <v>4.8345762462281243</v>
      </c>
      <c r="F23" s="49"/>
      <c r="G23" s="53"/>
      <c r="H23" s="144" t="s">
        <v>55</v>
      </c>
      <c r="I23" s="82" t="s">
        <v>82</v>
      </c>
      <c r="J23" s="172">
        <v>3.2434990482355639</v>
      </c>
      <c r="K23" s="25">
        <v>4.8345762462281243</v>
      </c>
      <c r="O23" s="49"/>
    </row>
    <row r="24" spans="1:15" ht="16.5" customHeight="1">
      <c r="A24" s="81" t="s">
        <v>56</v>
      </c>
      <c r="B24" s="36" t="s">
        <v>82</v>
      </c>
      <c r="C24" s="25">
        <v>0.41877337891602978</v>
      </c>
      <c r="D24" s="25">
        <v>0.51699151612220762</v>
      </c>
      <c r="F24" s="49"/>
      <c r="G24" s="53"/>
      <c r="H24" s="77" t="s">
        <v>56</v>
      </c>
      <c r="I24" s="36" t="s">
        <v>82</v>
      </c>
      <c r="J24" s="172">
        <v>0.40222105725889673</v>
      </c>
      <c r="K24" s="25">
        <v>0.51699151612220762</v>
      </c>
      <c r="O24" s="49"/>
    </row>
    <row r="25" spans="1:15">
      <c r="A25" s="53" t="s">
        <v>57</v>
      </c>
      <c r="B25" s="82" t="s">
        <v>82</v>
      </c>
      <c r="C25" s="25">
        <v>2.8006999999993498</v>
      </c>
      <c r="D25" s="25">
        <v>4.358509999997171</v>
      </c>
      <c r="F25" s="49"/>
      <c r="G25" s="53"/>
      <c r="H25" s="144" t="s">
        <v>57</v>
      </c>
      <c r="I25" s="82" t="s">
        <v>82</v>
      </c>
      <c r="J25" s="172">
        <v>2.7328399999996589</v>
      </c>
      <c r="K25" s="25">
        <v>4.358509999997171</v>
      </c>
      <c r="O25" s="49"/>
    </row>
    <row r="26" spans="1:15">
      <c r="A26" s="81" t="s">
        <v>58</v>
      </c>
      <c r="B26" s="36" t="s">
        <v>92</v>
      </c>
      <c r="C26" s="25">
        <v>1.4301240095039691</v>
      </c>
      <c r="D26" s="25">
        <v>0.80018087181333797</v>
      </c>
      <c r="F26" s="49"/>
      <c r="G26" s="53"/>
      <c r="H26" s="77" t="s">
        <v>58</v>
      </c>
      <c r="I26" s="36" t="s">
        <v>92</v>
      </c>
      <c r="J26" s="172">
        <v>1.5330326965669714</v>
      </c>
      <c r="K26" s="25">
        <v>0.80018087181333797</v>
      </c>
      <c r="O26" s="49"/>
    </row>
    <row r="27" spans="1:15">
      <c r="A27" s="53" t="s">
        <v>62</v>
      </c>
      <c r="B27" s="82" t="s">
        <v>93</v>
      </c>
      <c r="C27" s="25">
        <v>0.7545933579283044</v>
      </c>
      <c r="D27" s="25">
        <v>0.8188045274004816</v>
      </c>
      <c r="F27" s="49"/>
      <c r="G27" s="53"/>
      <c r="H27" s="144" t="s">
        <v>62</v>
      </c>
      <c r="I27" s="82" t="s">
        <v>93</v>
      </c>
      <c r="J27" s="172">
        <v>0.73620538474719943</v>
      </c>
      <c r="K27" s="25">
        <v>0.8188045274004816</v>
      </c>
      <c r="O27" s="49"/>
    </row>
    <row r="28" spans="1:15">
      <c r="A28" s="295" t="s">
        <v>63</v>
      </c>
      <c r="B28" s="293"/>
      <c r="C28" s="25">
        <v>0.64627671201934866</v>
      </c>
      <c r="D28" s="25">
        <v>0.3373663558342298</v>
      </c>
      <c r="F28" s="49"/>
      <c r="G28" s="53"/>
      <c r="H28" s="292" t="s">
        <v>63</v>
      </c>
      <c r="I28" s="293"/>
      <c r="J28" s="172">
        <v>0.70853106065168892</v>
      </c>
      <c r="K28" s="25">
        <v>0.3373663558342298</v>
      </c>
      <c r="O28" s="49"/>
    </row>
    <row r="29" spans="1:15">
      <c r="A29" s="79" t="s">
        <v>64</v>
      </c>
      <c r="B29" s="80" t="s">
        <v>82</v>
      </c>
      <c r="C29" s="25">
        <v>0.65034999999967502</v>
      </c>
      <c r="D29" s="25">
        <v>0.7861699999990569</v>
      </c>
      <c r="F29" s="49"/>
      <c r="G29" s="53"/>
      <c r="H29" s="129" t="s">
        <v>64</v>
      </c>
      <c r="I29" s="80" t="s">
        <v>82</v>
      </c>
      <c r="J29" s="172">
        <v>0.61641999999982944</v>
      </c>
      <c r="K29" s="25">
        <v>0.7861699999990569</v>
      </c>
      <c r="O29" s="49"/>
    </row>
    <row r="30" spans="1:15">
      <c r="A30" s="53"/>
      <c r="F30" s="49"/>
      <c r="G30" s="53"/>
      <c r="O30" s="49"/>
    </row>
    <row r="31" spans="1:15" ht="15.75" customHeight="1">
      <c r="A31" s="287" t="s">
        <v>94</v>
      </c>
      <c r="B31" s="288"/>
      <c r="C31" s="261"/>
      <c r="D31" s="25">
        <v>3.5134134070399847</v>
      </c>
      <c r="F31" s="49"/>
      <c r="G31" s="53"/>
      <c r="H31" s="289" t="s">
        <v>95</v>
      </c>
      <c r="I31" s="290"/>
      <c r="J31" s="291"/>
      <c r="K31" s="25">
        <f>IF(C6=0,0,4.7*(-C6+D6)*0.5+1.65*D5*K29)</f>
        <v>3.1207707499976656</v>
      </c>
      <c r="O31" s="49"/>
    </row>
    <row r="32" spans="1:15" ht="17.25" customHeight="1">
      <c r="A32" s="287" t="s">
        <v>96</v>
      </c>
      <c r="B32" s="288"/>
      <c r="C32" s="261"/>
      <c r="D32" s="25">
        <f>ROUNDUP(ABS(D31),1)</f>
        <v>3.6</v>
      </c>
      <c r="F32" s="49"/>
      <c r="G32" s="53"/>
      <c r="H32" s="289" t="s">
        <v>97</v>
      </c>
      <c r="I32" s="290"/>
      <c r="J32" s="291"/>
      <c r="K32" s="25">
        <v>7.5</v>
      </c>
      <c r="O32" s="49"/>
    </row>
    <row r="33" spans="1:15" ht="16.5" customHeight="1">
      <c r="A33" s="53"/>
      <c r="F33" s="49"/>
      <c r="G33" s="53"/>
      <c r="H33" s="260" t="s">
        <v>98</v>
      </c>
      <c r="I33" s="288"/>
      <c r="J33" s="261"/>
      <c r="K33" s="25">
        <f>+K32/5</f>
        <v>1.5</v>
      </c>
      <c r="O33" s="49"/>
    </row>
    <row r="34" spans="1:15">
      <c r="A34" s="53"/>
      <c r="F34" s="49"/>
      <c r="G34" s="53"/>
      <c r="O34" s="49"/>
    </row>
    <row r="35" spans="1:15" ht="41.25" customHeight="1">
      <c r="A35" s="53"/>
      <c r="F35" s="49"/>
      <c r="G35" s="53"/>
      <c r="H35" s="109" t="s">
        <v>99</v>
      </c>
      <c r="I35" s="108" t="s">
        <v>100</v>
      </c>
      <c r="J35" s="109" t="s">
        <v>101</v>
      </c>
      <c r="K35" s="109" t="s">
        <v>102</v>
      </c>
      <c r="L35" s="109" t="s">
        <v>103</v>
      </c>
      <c r="M35" s="109" t="s">
        <v>104</v>
      </c>
      <c r="N35" s="44" t="s">
        <v>105</v>
      </c>
      <c r="O35" s="49"/>
    </row>
    <row r="36" spans="1:15" ht="13.5" customHeight="1">
      <c r="A36" s="53"/>
      <c r="F36" s="49"/>
      <c r="G36" s="50" t="s">
        <v>106</v>
      </c>
      <c r="H36" s="25">
        <v>0</v>
      </c>
      <c r="I36" s="25">
        <f t="shared" ref="I36:I41" si="0">+$C$6+($D$6-$C$6)*H36/$K$32*(1-(1-H36/$K$32)^$N$16)</f>
        <v>1.5</v>
      </c>
      <c r="J36" s="25">
        <f t="shared" ref="J36:J41" si="1">(IF($D$5&gt;$C$5,$D$5,$C$5)-IF($D$5&gt;$C$5,$C$5,$D$5))*(1-(1-(IF($D$5&gt;$C$5,H36/$K$32,1-H36/$K$32)))^0.5)+IF($D$5&gt;$C$5,$C$5,$D$5)</f>
        <v>1</v>
      </c>
      <c r="K36" s="25">
        <f t="shared" ref="K36:K41" si="2">+$N$17*H36/$K$32</f>
        <v>0</v>
      </c>
      <c r="L36" s="130">
        <f>+K36+$C$9</f>
        <v>100</v>
      </c>
      <c r="M36" s="25">
        <v>0.61647999999982939</v>
      </c>
      <c r="N36" s="25">
        <v>0.73623527907227526</v>
      </c>
      <c r="O36" s="49"/>
    </row>
    <row r="37" spans="1:15" ht="16.5" customHeight="1">
      <c r="A37" s="53"/>
      <c r="F37" s="49"/>
      <c r="G37" s="53"/>
      <c r="H37" s="25">
        <f>+K33</f>
        <v>1.5</v>
      </c>
      <c r="I37" s="25">
        <f t="shared" si="0"/>
        <v>1.5101886136400662</v>
      </c>
      <c r="J37" s="25">
        <f t="shared" si="1"/>
        <v>1.0527864045000421</v>
      </c>
      <c r="K37" s="25">
        <f t="shared" si="2"/>
        <v>-1.9999999999998862E-2</v>
      </c>
      <c r="L37" s="130">
        <f t="shared" ref="L37:L41" si="3">+K37+$C$9</f>
        <v>99.98</v>
      </c>
      <c r="M37" s="25">
        <v>0.65312999999966259</v>
      </c>
      <c r="N37" s="25">
        <v>0.75207352120201831</v>
      </c>
      <c r="O37" s="49"/>
    </row>
    <row r="38" spans="1:15">
      <c r="A38" s="53"/>
      <c r="F38" s="49"/>
      <c r="G38" s="53"/>
      <c r="H38" s="25">
        <f>+H37+$K$33</f>
        <v>3</v>
      </c>
      <c r="I38" s="25">
        <f t="shared" si="0"/>
        <v>1.5436149955740837</v>
      </c>
      <c r="J38" s="25">
        <f t="shared" si="1"/>
        <v>1.1127016653792583</v>
      </c>
      <c r="K38" s="25">
        <f t="shared" si="2"/>
        <v>-3.9999999999997725E-2</v>
      </c>
      <c r="L38" s="130">
        <f t="shared" si="3"/>
        <v>99.960000000000008</v>
      </c>
      <c r="M38" s="25">
        <v>0.68754999999950595</v>
      </c>
      <c r="N38" s="25">
        <v>0.76846612612553677</v>
      </c>
      <c r="O38" s="49"/>
    </row>
    <row r="39" spans="1:15">
      <c r="A39" s="53"/>
      <c r="F39" s="49"/>
      <c r="G39" s="53"/>
      <c r="H39" s="25">
        <f>+H38+$K$33</f>
        <v>4.5</v>
      </c>
      <c r="I39" s="25">
        <f t="shared" si="0"/>
        <v>1.6070313565481058</v>
      </c>
      <c r="J39" s="25">
        <f t="shared" si="1"/>
        <v>1.183772233983162</v>
      </c>
      <c r="K39" s="25">
        <f t="shared" si="2"/>
        <v>-5.9999999999996591E-2</v>
      </c>
      <c r="L39" s="130">
        <f t="shared" si="3"/>
        <v>99.94</v>
      </c>
      <c r="M39" s="25">
        <v>0.72032999999935676</v>
      </c>
      <c r="N39" s="25">
        <v>0.78527119543556068</v>
      </c>
      <c r="O39" s="49"/>
    </row>
    <row r="40" spans="1:15">
      <c r="A40" s="53"/>
      <c r="F40" s="49"/>
      <c r="G40" s="53"/>
      <c r="H40" s="25">
        <f>+H39+$K$33</f>
        <v>6</v>
      </c>
      <c r="I40" s="25">
        <f t="shared" si="0"/>
        <v>1.7157279067962803</v>
      </c>
      <c r="J40" s="25">
        <f t="shared" si="1"/>
        <v>1.2763932022500211</v>
      </c>
      <c r="K40" s="25">
        <f t="shared" si="2"/>
        <v>-7.999999999999545E-2</v>
      </c>
      <c r="L40" s="130">
        <f t="shared" si="3"/>
        <v>99.92</v>
      </c>
      <c r="M40" s="25">
        <v>0.75198999999921268</v>
      </c>
      <c r="N40" s="25">
        <v>0.80235241522974998</v>
      </c>
      <c r="O40" s="49"/>
    </row>
    <row r="41" spans="1:15" ht="14.25" customHeight="1">
      <c r="A41" s="53"/>
      <c r="F41" s="49"/>
      <c r="G41" s="50" t="s">
        <v>107</v>
      </c>
      <c r="H41" s="25">
        <f>+H40+$K$33</f>
        <v>7.5</v>
      </c>
      <c r="I41" s="25">
        <f t="shared" si="0"/>
        <v>2</v>
      </c>
      <c r="J41" s="25">
        <f t="shared" si="1"/>
        <v>1.5</v>
      </c>
      <c r="K41" s="25">
        <f t="shared" si="2"/>
        <v>-9.9999999999994316E-2</v>
      </c>
      <c r="L41" s="130">
        <f t="shared" si="3"/>
        <v>99.9</v>
      </c>
      <c r="M41" s="25">
        <v>0.78617999999905708</v>
      </c>
      <c r="N41" s="25">
        <v>0.81881338926575464</v>
      </c>
      <c r="O41" s="49"/>
    </row>
    <row r="42" spans="1:15">
      <c r="A42" s="53"/>
      <c r="F42" s="49"/>
      <c r="G42" s="53"/>
      <c r="O42" s="49"/>
    </row>
    <row r="43" spans="1:15" ht="15">
      <c r="A43" s="297" t="s">
        <v>108</v>
      </c>
      <c r="B43" s="298"/>
      <c r="C43" s="298"/>
      <c r="D43" s="298"/>
      <c r="E43" s="299"/>
      <c r="F43" s="49"/>
      <c r="G43" s="53"/>
      <c r="H43" s="300" t="s">
        <v>109</v>
      </c>
      <c r="I43" s="298"/>
      <c r="J43" s="298"/>
      <c r="K43" s="298"/>
      <c r="L43" s="298"/>
      <c r="M43" s="298"/>
      <c r="N43" s="298"/>
      <c r="O43" s="301"/>
    </row>
    <row r="44" spans="1:15" ht="43.5" customHeight="1">
      <c r="A44" s="173" t="s">
        <v>110</v>
      </c>
      <c r="B44" s="174">
        <f>+ROUNDUP(C29*(1+D44),1)</f>
        <v>0.9</v>
      </c>
      <c r="C44" s="175" t="s">
        <v>44</v>
      </c>
      <c r="D44" s="113">
        <v>0.33</v>
      </c>
      <c r="E44" s="270" t="s">
        <v>52</v>
      </c>
      <c r="F44" s="49"/>
      <c r="G44" s="53"/>
      <c r="H44" s="284" t="s">
        <v>110</v>
      </c>
      <c r="I44" s="285"/>
      <c r="J44" s="285"/>
      <c r="K44" s="286"/>
      <c r="L44" s="174">
        <f>+ROUNDUP(M36*(1+N44),1)</f>
        <v>0.9</v>
      </c>
      <c r="M44" s="175" t="s">
        <v>44</v>
      </c>
      <c r="N44" s="113">
        <f>+D44</f>
        <v>0.33</v>
      </c>
      <c r="O44" s="282" t="s">
        <v>52</v>
      </c>
    </row>
    <row r="45" spans="1:15" ht="43.5" customHeight="1">
      <c r="A45" s="173" t="s">
        <v>111</v>
      </c>
      <c r="B45" s="111">
        <f>+ROUNDUP(D29*(1+D45),1)</f>
        <v>1.1000000000000001</v>
      </c>
      <c r="C45" s="112" t="s">
        <v>44</v>
      </c>
      <c r="D45" s="113">
        <f>+D44</f>
        <v>0.33</v>
      </c>
      <c r="E45" s="270"/>
      <c r="F45" s="49"/>
      <c r="G45" s="53"/>
      <c r="H45" s="284" t="s">
        <v>111</v>
      </c>
      <c r="I45" s="285"/>
      <c r="J45" s="285"/>
      <c r="K45" s="286"/>
      <c r="L45" s="174">
        <f>+ROUNDUP(M41*(1+N45),1)</f>
        <v>1.1000000000000001</v>
      </c>
      <c r="M45" s="175" t="s">
        <v>44</v>
      </c>
      <c r="N45" s="115">
        <f>+D44</f>
        <v>0.33</v>
      </c>
      <c r="O45" s="283"/>
    </row>
    <row r="46" spans="1:15" ht="28.15" customHeight="1">
      <c r="A46" s="279" t="s">
        <v>112</v>
      </c>
      <c r="B46" s="280"/>
      <c r="C46" s="281"/>
      <c r="D46" s="176">
        <v>20</v>
      </c>
      <c r="E46" s="177" t="s">
        <v>44</v>
      </c>
      <c r="F46" s="49"/>
      <c r="G46" s="53"/>
      <c r="H46" s="284" t="s">
        <v>113</v>
      </c>
      <c r="I46" s="285"/>
      <c r="J46" s="285"/>
      <c r="K46" s="286"/>
      <c r="L46" s="111">
        <f>+D46</f>
        <v>20</v>
      </c>
      <c r="M46" s="112" t="s">
        <v>44</v>
      </c>
      <c r="N46" s="111" t="s">
        <v>114</v>
      </c>
      <c r="O46" s="178">
        <v>0.1</v>
      </c>
    </row>
    <row r="47" spans="1:15">
      <c r="A47" s="51" t="s">
        <v>72</v>
      </c>
      <c r="B47" s="28" t="s">
        <v>73</v>
      </c>
      <c r="C47" s="28" t="s">
        <v>43</v>
      </c>
      <c r="D47" s="28" t="s">
        <v>74</v>
      </c>
      <c r="F47" s="49"/>
      <c r="G47" s="53"/>
      <c r="H47" s="52" t="s">
        <v>72</v>
      </c>
      <c r="I47" s="28" t="s">
        <v>73</v>
      </c>
      <c r="J47" s="28" t="s">
        <v>43</v>
      </c>
      <c r="K47" s="28" t="s">
        <v>74</v>
      </c>
      <c r="O47" s="49"/>
    </row>
    <row r="48" spans="1:15">
      <c r="A48" s="51">
        <v>1</v>
      </c>
      <c r="B48" s="221">
        <f>+-(B44*C5+C6/2)-O46</f>
        <v>-1.75</v>
      </c>
      <c r="C48" s="221">
        <v>0</v>
      </c>
      <c r="D48" s="221">
        <f>+C9+D46*C7+B44</f>
        <v>100.91000000000001</v>
      </c>
      <c r="F48" s="49"/>
      <c r="G48" s="53"/>
      <c r="H48" s="52">
        <v>1</v>
      </c>
      <c r="I48" s="222">
        <f>+I55</f>
        <v>1.75</v>
      </c>
      <c r="J48" s="223">
        <v>0</v>
      </c>
      <c r="K48" s="223">
        <f>+K52+$L$46*$C$7</f>
        <v>100.91000000000001</v>
      </c>
      <c r="O48" s="49"/>
    </row>
    <row r="49" spans="1:15">
      <c r="A49" s="51">
        <v>2</v>
      </c>
      <c r="B49" s="221">
        <f>-(C6/2)</f>
        <v>-0.75</v>
      </c>
      <c r="C49" s="221">
        <f>+C48</f>
        <v>0</v>
      </c>
      <c r="D49" s="221">
        <f>+C9+D46*C7</f>
        <v>100.01</v>
      </c>
      <c r="F49" s="49"/>
      <c r="G49" s="53"/>
      <c r="H49" s="52">
        <v>2</v>
      </c>
      <c r="I49" s="222">
        <f>+I54</f>
        <v>0.75</v>
      </c>
      <c r="J49" s="223">
        <v>0</v>
      </c>
      <c r="K49" s="223">
        <f>+K53+$L$46*$C$7</f>
        <v>100.01</v>
      </c>
      <c r="O49" s="49"/>
    </row>
    <row r="50" spans="1:15">
      <c r="A50" s="51">
        <v>3</v>
      </c>
      <c r="B50" s="221">
        <f>(C6/2)</f>
        <v>0.75</v>
      </c>
      <c r="C50" s="221">
        <f>+C49</f>
        <v>0</v>
      </c>
      <c r="D50" s="221">
        <f>+D49</f>
        <v>100.01</v>
      </c>
      <c r="F50" s="49"/>
      <c r="G50" s="53"/>
      <c r="H50" s="52">
        <v>3</v>
      </c>
      <c r="I50" s="222">
        <f>+I53</f>
        <v>-0.75</v>
      </c>
      <c r="J50" s="223">
        <v>0</v>
      </c>
      <c r="K50" s="223">
        <f>+K54+$L$46*$C$7</f>
        <v>100.01</v>
      </c>
      <c r="O50" s="49"/>
    </row>
    <row r="51" spans="1:15" ht="15" customHeight="1">
      <c r="A51" s="51">
        <v>4</v>
      </c>
      <c r="B51" s="221">
        <f>(B44*C5+C6/2)+O46</f>
        <v>1.75</v>
      </c>
      <c r="C51" s="221">
        <f>+C50</f>
        <v>0</v>
      </c>
      <c r="D51" s="221">
        <f>+D48</f>
        <v>100.91000000000001</v>
      </c>
      <c r="F51" s="49"/>
      <c r="G51" s="53"/>
      <c r="H51" s="52">
        <v>4</v>
      </c>
      <c r="I51" s="222">
        <f>+I52</f>
        <v>-1.75</v>
      </c>
      <c r="J51" s="223">
        <v>0</v>
      </c>
      <c r="K51" s="223">
        <f>+K55+$L$46*$C$7</f>
        <v>100.91000000000001</v>
      </c>
      <c r="M51" s="270" t="s">
        <v>115</v>
      </c>
      <c r="N51" s="271">
        <f>(K77+M41)</f>
        <v>100.67617999999906</v>
      </c>
      <c r="O51" s="49"/>
    </row>
    <row r="52" spans="1:15">
      <c r="A52" s="51">
        <v>5</v>
      </c>
      <c r="B52" s="221">
        <f>+B51</f>
        <v>1.75</v>
      </c>
      <c r="C52" s="221">
        <f>+D46</f>
        <v>20</v>
      </c>
      <c r="D52" s="221">
        <f>+C9+B44</f>
        <v>100.9</v>
      </c>
      <c r="F52" s="49"/>
      <c r="G52" s="53"/>
      <c r="H52" s="52">
        <v>5</v>
      </c>
      <c r="I52" s="222">
        <f>-(I36/2+J36*ROUNDUP(M36*(1+$N$44),1))-O46</f>
        <v>-1.75</v>
      </c>
      <c r="J52" s="223">
        <f>+L46</f>
        <v>20</v>
      </c>
      <c r="K52" s="223">
        <f>+L36+L44</f>
        <v>100.9</v>
      </c>
      <c r="M52" s="270"/>
      <c r="N52" s="271"/>
      <c r="O52" s="49"/>
    </row>
    <row r="53" spans="1:15">
      <c r="A53" s="51">
        <v>6</v>
      </c>
      <c r="B53" s="221">
        <f>+B50</f>
        <v>0.75</v>
      </c>
      <c r="C53" s="221">
        <f>+D46</f>
        <v>20</v>
      </c>
      <c r="D53" s="221">
        <f>+C9</f>
        <v>100</v>
      </c>
      <c r="F53" s="49"/>
      <c r="G53" s="53"/>
      <c r="H53" s="52">
        <v>6</v>
      </c>
      <c r="I53" s="222">
        <f>-(I36/2)</f>
        <v>-0.75</v>
      </c>
      <c r="J53" s="223">
        <f>+L46</f>
        <v>20</v>
      </c>
      <c r="K53" s="223">
        <f>+L36</f>
        <v>100</v>
      </c>
      <c r="M53" s="270"/>
      <c r="N53" s="271"/>
      <c r="O53" s="49"/>
    </row>
    <row r="54" spans="1:15">
      <c r="A54" s="51">
        <v>7</v>
      </c>
      <c r="B54" s="221">
        <f>+B49</f>
        <v>-0.75</v>
      </c>
      <c r="C54" s="221">
        <f>+D46</f>
        <v>20</v>
      </c>
      <c r="D54" s="221">
        <f>+D53</f>
        <v>100</v>
      </c>
      <c r="F54" s="49"/>
      <c r="G54" s="53"/>
      <c r="H54" s="52">
        <v>7</v>
      </c>
      <c r="I54" s="222">
        <f>(I36/2)</f>
        <v>0.75</v>
      </c>
      <c r="J54" s="223">
        <f>+L46</f>
        <v>20</v>
      </c>
      <c r="K54" s="223">
        <f>+L36</f>
        <v>100</v>
      </c>
      <c r="M54" s="270"/>
      <c r="N54" s="271"/>
      <c r="O54" s="49"/>
    </row>
    <row r="55" spans="1:15">
      <c r="A55" s="51">
        <v>8</v>
      </c>
      <c r="B55" s="221">
        <f>+B48</f>
        <v>-1.75</v>
      </c>
      <c r="C55" s="221">
        <f>+D46</f>
        <v>20</v>
      </c>
      <c r="D55" s="221">
        <f>+D52</f>
        <v>100.9</v>
      </c>
      <c r="F55" s="49"/>
      <c r="G55" s="53"/>
      <c r="H55" s="52">
        <v>8</v>
      </c>
      <c r="I55" s="222">
        <f>(I36/2+J36*ROUNDUP(M36*(1+$N$44),1))+O46</f>
        <v>1.75</v>
      </c>
      <c r="J55" s="223">
        <f>+L46</f>
        <v>20</v>
      </c>
      <c r="K55" s="223">
        <f>+L36+L44</f>
        <v>100.9</v>
      </c>
      <c r="M55" s="270"/>
      <c r="N55" s="271"/>
      <c r="O55" s="49"/>
    </row>
    <row r="56" spans="1:15">
      <c r="A56" s="51">
        <v>9</v>
      </c>
      <c r="B56" s="221">
        <f>-(B45*D5+D6/2)</f>
        <v>-2.6500000000000004</v>
      </c>
      <c r="C56" s="221">
        <f>+D46+D32</f>
        <v>23.6</v>
      </c>
      <c r="D56" s="221">
        <f>+D9+B45</f>
        <v>101</v>
      </c>
      <c r="F56" s="49"/>
      <c r="G56" s="53"/>
      <c r="H56" s="52">
        <v>9</v>
      </c>
      <c r="I56" s="222">
        <f>(I37/2+J37*ROUNDUP(M37*(1+$N$44),1))</f>
        <v>1.7026020708700709</v>
      </c>
      <c r="J56" s="223">
        <f>+J52+H37</f>
        <v>21.5</v>
      </c>
      <c r="K56" s="223">
        <f>+(J56-$J$55)*($K$72-$K$55)/($J$72-$J$55)+$K$55</f>
        <v>100.92</v>
      </c>
      <c r="O56" s="49"/>
    </row>
    <row r="57" spans="1:15">
      <c r="A57" s="51">
        <v>10</v>
      </c>
      <c r="B57" s="221">
        <f>-(D6/2)</f>
        <v>-1</v>
      </c>
      <c r="C57" s="221">
        <f>+D46+D32</f>
        <v>23.6</v>
      </c>
      <c r="D57" s="221">
        <f>+D9</f>
        <v>99.9</v>
      </c>
      <c r="F57" s="49"/>
      <c r="G57" s="53"/>
      <c r="H57" s="52">
        <v>10</v>
      </c>
      <c r="I57" s="222">
        <f>+I37/2</f>
        <v>0.75509430682003309</v>
      </c>
      <c r="J57" s="223">
        <f>+J56</f>
        <v>21.5</v>
      </c>
      <c r="K57" s="223">
        <f>+K53+$K$37</f>
        <v>99.98</v>
      </c>
      <c r="O57" s="49"/>
    </row>
    <row r="58" spans="1:15">
      <c r="A58" s="51">
        <v>11</v>
      </c>
      <c r="B58" s="221">
        <f>(D6/2)</f>
        <v>1</v>
      </c>
      <c r="C58" s="221">
        <f>+D46+D32</f>
        <v>23.6</v>
      </c>
      <c r="D58" s="221">
        <f>+D9</f>
        <v>99.9</v>
      </c>
      <c r="F58" s="49"/>
      <c r="G58" s="53"/>
      <c r="H58" s="52">
        <v>11</v>
      </c>
      <c r="I58" s="222">
        <f>-I37/2</f>
        <v>-0.75509430682003309</v>
      </c>
      <c r="J58" s="223">
        <f>+J57</f>
        <v>21.5</v>
      </c>
      <c r="K58" s="223">
        <f>+K54+$K$37</f>
        <v>99.98</v>
      </c>
      <c r="O58" s="49"/>
    </row>
    <row r="59" spans="1:15">
      <c r="A59" s="51">
        <v>12</v>
      </c>
      <c r="B59" s="221">
        <f>(B45*D5+D6/2)</f>
        <v>2.6500000000000004</v>
      </c>
      <c r="C59" s="221">
        <f>+D46+D32</f>
        <v>23.6</v>
      </c>
      <c r="D59" s="221">
        <f>+D56</f>
        <v>101</v>
      </c>
      <c r="F59" s="49"/>
      <c r="G59" s="53"/>
      <c r="H59" s="52">
        <v>12</v>
      </c>
      <c r="I59" s="222">
        <f>-(I37/2+J37*ROUNDUP(M37*(1+$N$44),1))</f>
        <v>-1.7026020708700709</v>
      </c>
      <c r="J59" s="223">
        <f>+J58</f>
        <v>21.5</v>
      </c>
      <c r="K59" s="223">
        <f>+K56</f>
        <v>100.92</v>
      </c>
      <c r="M59" s="72"/>
      <c r="O59" s="49"/>
    </row>
    <row r="60" spans="1:15">
      <c r="A60" s="51">
        <v>13</v>
      </c>
      <c r="B60" s="221">
        <f>+B59</f>
        <v>2.6500000000000004</v>
      </c>
      <c r="C60" s="221">
        <f>+C59+D46</f>
        <v>43.6</v>
      </c>
      <c r="D60" s="221">
        <f>+D56-$D$46*$D$7</f>
        <v>100.99</v>
      </c>
      <c r="F60" s="49"/>
      <c r="G60" s="53"/>
      <c r="H60" s="52">
        <v>13</v>
      </c>
      <c r="I60" s="222">
        <f>-(I38/2+J38*ROUNDUP(M38*(1+$N$44),1))</f>
        <v>-1.8845091631663</v>
      </c>
      <c r="J60" s="223">
        <f>+$J$52+$H$38</f>
        <v>23</v>
      </c>
      <c r="K60" s="223">
        <f>+(J60-$J$55)*($K$72-$K$55)/($J$72-$J$55)+$K$55</f>
        <v>100.94</v>
      </c>
      <c r="M60" s="72"/>
      <c r="O60" s="49"/>
    </row>
    <row r="61" spans="1:15" ht="15" customHeight="1">
      <c r="A61" s="51">
        <v>14</v>
      </c>
      <c r="B61" s="221">
        <f>+B58</f>
        <v>1</v>
      </c>
      <c r="C61" s="221">
        <f>+C60</f>
        <v>43.6</v>
      </c>
      <c r="D61" s="221">
        <f>+D57-$D$46*$D$7</f>
        <v>99.89</v>
      </c>
      <c r="F61" s="49"/>
      <c r="G61" s="53"/>
      <c r="H61" s="52">
        <v>14</v>
      </c>
      <c r="I61" s="222">
        <f>-I38/2</f>
        <v>-0.77180749778704183</v>
      </c>
      <c r="J61" s="223">
        <f>+$J$52+$H$38</f>
        <v>23</v>
      </c>
      <c r="K61" s="223">
        <f>+K53+$K$38</f>
        <v>99.960000000000008</v>
      </c>
      <c r="M61" s="72"/>
      <c r="O61" s="49"/>
    </row>
    <row r="62" spans="1:15" ht="15" customHeight="1">
      <c r="A62" s="51">
        <v>15</v>
      </c>
      <c r="B62" s="221">
        <f>+B57</f>
        <v>-1</v>
      </c>
      <c r="C62" s="221">
        <f t="shared" ref="C62:C63" si="4">+C61</f>
        <v>43.6</v>
      </c>
      <c r="D62" s="221">
        <f>+D58-$D$46*$D$7</f>
        <v>99.89</v>
      </c>
      <c r="F62" s="49"/>
      <c r="G62" s="53"/>
      <c r="H62" s="52">
        <v>15</v>
      </c>
      <c r="I62" s="222">
        <f>+I38/2</f>
        <v>0.77180749778704183</v>
      </c>
      <c r="J62" s="223">
        <f>+$J$52+$H$38</f>
        <v>23</v>
      </c>
      <c r="K62" s="223">
        <f>+K54+$K$38</f>
        <v>99.960000000000008</v>
      </c>
      <c r="O62" s="49"/>
    </row>
    <row r="63" spans="1:15">
      <c r="A63" s="51">
        <v>16</v>
      </c>
      <c r="B63" s="221">
        <f>+B56</f>
        <v>-2.6500000000000004</v>
      </c>
      <c r="C63" s="221">
        <f t="shared" si="4"/>
        <v>43.6</v>
      </c>
      <c r="D63" s="221">
        <f>+D59-$D$46*$D$7</f>
        <v>100.99</v>
      </c>
      <c r="F63" s="49"/>
      <c r="G63" s="53"/>
      <c r="H63" s="52">
        <v>16</v>
      </c>
      <c r="I63" s="222">
        <f>(I38/2+J38*ROUNDUP(M38*(1+$N$44),1))</f>
        <v>1.8845091631663</v>
      </c>
      <c r="J63" s="223">
        <f>+$J$52+$H$38</f>
        <v>23</v>
      </c>
      <c r="K63" s="223">
        <f>+K60</f>
        <v>100.94</v>
      </c>
      <c r="O63" s="49"/>
    </row>
    <row r="64" spans="1:15">
      <c r="A64" s="53"/>
      <c r="F64" s="49"/>
      <c r="G64" s="53"/>
      <c r="H64" s="52">
        <v>17</v>
      </c>
      <c r="I64" s="222">
        <f>(I39/2+J39*ROUNDUP(M39*(1+$N$44),1))</f>
        <v>1.9872879122572149</v>
      </c>
      <c r="J64" s="223">
        <f>+$J$52+$H$39</f>
        <v>24.5</v>
      </c>
      <c r="K64" s="223">
        <f>+(J64-$J$55)*($K$72-$K$55)/($J$72-$J$55)+$K$55</f>
        <v>100.96000000000001</v>
      </c>
      <c r="O64" s="49"/>
    </row>
    <row r="65" spans="1:15">
      <c r="A65" s="53"/>
      <c r="E65" s="37">
        <f>+D61+D29</f>
        <v>100.67616999999906</v>
      </c>
      <c r="F65" s="49"/>
      <c r="G65" s="53"/>
      <c r="H65" s="52">
        <v>18</v>
      </c>
      <c r="I65" s="222">
        <f>I39/2</f>
        <v>0.8035156782740529</v>
      </c>
      <c r="J65" s="223">
        <f>+$J$52+$H$39</f>
        <v>24.5</v>
      </c>
      <c r="K65" s="223">
        <f>+K53+$K$39</f>
        <v>99.94</v>
      </c>
      <c r="O65" s="49"/>
    </row>
    <row r="66" spans="1:15">
      <c r="A66" s="53"/>
      <c r="F66" s="49"/>
      <c r="G66" s="53"/>
      <c r="H66" s="52">
        <v>19</v>
      </c>
      <c r="I66" s="222">
        <f>-I39/2</f>
        <v>-0.8035156782740529</v>
      </c>
      <c r="J66" s="223">
        <f>+$J$52+$H$39</f>
        <v>24.5</v>
      </c>
      <c r="K66" s="223">
        <f>+K54+$K$39</f>
        <v>99.94</v>
      </c>
      <c r="O66" s="49"/>
    </row>
    <row r="67" spans="1:15">
      <c r="A67" s="60" t="s">
        <v>116</v>
      </c>
      <c r="B67" s="60" t="s">
        <v>117</v>
      </c>
      <c r="C67" s="60" t="s">
        <v>118</v>
      </c>
      <c r="D67" s="60" t="s">
        <v>119</v>
      </c>
      <c r="E67" s="60" t="s">
        <v>120</v>
      </c>
      <c r="F67" s="49"/>
      <c r="G67" s="53"/>
      <c r="H67" s="52">
        <v>20</v>
      </c>
      <c r="I67" s="222">
        <f>-(I39/2+J39*ROUNDUP(M39*(1+$N$44),1))</f>
        <v>-1.9872879122572149</v>
      </c>
      <c r="J67" s="223">
        <f>+$J$52+$H$39</f>
        <v>24.5</v>
      </c>
      <c r="K67" s="223">
        <f>+K64</f>
        <v>100.96000000000001</v>
      </c>
      <c r="O67" s="49"/>
    </row>
    <row r="68" spans="1:15">
      <c r="A68" s="21">
        <v>0</v>
      </c>
      <c r="B68" s="72">
        <f>+B48</f>
        <v>-1.75</v>
      </c>
      <c r="C68" s="72">
        <f>+B49</f>
        <v>-0.75</v>
      </c>
      <c r="D68" s="72">
        <f>+B50</f>
        <v>0.75</v>
      </c>
      <c r="E68" s="72">
        <f>+B51</f>
        <v>1.75</v>
      </c>
      <c r="F68" s="49"/>
      <c r="G68" s="53"/>
      <c r="H68" s="52">
        <v>21</v>
      </c>
      <c r="I68" s="222">
        <f>-(I40/2+J40*ROUNDUP(M40*(1+$N$44),1))</f>
        <v>-2.2618964758731632</v>
      </c>
      <c r="J68" s="223">
        <f>+$J$52+$H$40</f>
        <v>26</v>
      </c>
      <c r="K68" s="223">
        <f>+(J68-$J$55)*($K$72-$K$55)/($J$72-$J$55)+$K$55</f>
        <v>100.98</v>
      </c>
      <c r="O68" s="49"/>
    </row>
    <row r="69" spans="1:15">
      <c r="A69" s="179">
        <f>+C52</f>
        <v>20</v>
      </c>
      <c r="B69" s="180">
        <f>+B55</f>
        <v>-1.75</v>
      </c>
      <c r="C69" s="180">
        <f>+B54</f>
        <v>-0.75</v>
      </c>
      <c r="D69" s="180">
        <f>+B53</f>
        <v>0.75</v>
      </c>
      <c r="E69" s="180">
        <f>+B52</f>
        <v>1.75</v>
      </c>
      <c r="F69" s="49"/>
      <c r="G69" s="53"/>
      <c r="H69" s="52">
        <v>22</v>
      </c>
      <c r="I69" s="222">
        <f>-I40/2</f>
        <v>-0.85786395339814014</v>
      </c>
      <c r="J69" s="223">
        <f>+$J$52+$H$40</f>
        <v>26</v>
      </c>
      <c r="K69" s="223">
        <f>+K53+$K$40</f>
        <v>99.92</v>
      </c>
      <c r="O69" s="49"/>
    </row>
    <row r="70" spans="1:15">
      <c r="A70" s="179">
        <f>+C56</f>
        <v>23.6</v>
      </c>
      <c r="B70" s="180">
        <f>+B56</f>
        <v>-2.6500000000000004</v>
      </c>
      <c r="C70" s="180">
        <f>+B57</f>
        <v>-1</v>
      </c>
      <c r="D70" s="180">
        <f>+B58</f>
        <v>1</v>
      </c>
      <c r="E70" s="180">
        <f>+B59</f>
        <v>2.6500000000000004</v>
      </c>
      <c r="F70" s="49"/>
      <c r="G70" s="53"/>
      <c r="H70" s="52">
        <v>23</v>
      </c>
      <c r="I70" s="222">
        <f>I40/2</f>
        <v>0.85786395339814014</v>
      </c>
      <c r="J70" s="223">
        <f>+$J$52+$H$40</f>
        <v>26</v>
      </c>
      <c r="K70" s="223">
        <f>+K54+$K$40</f>
        <v>99.92</v>
      </c>
      <c r="O70" s="49"/>
    </row>
    <row r="71" spans="1:15">
      <c r="A71" s="72">
        <f>+A70+D46</f>
        <v>43.6</v>
      </c>
      <c r="B71" s="72">
        <f>+B70</f>
        <v>-2.6500000000000004</v>
      </c>
      <c r="C71" s="72">
        <f>+C70</f>
        <v>-1</v>
      </c>
      <c r="D71" s="72">
        <f>+D70</f>
        <v>1</v>
      </c>
      <c r="E71" s="72">
        <f>+E70</f>
        <v>2.6500000000000004</v>
      </c>
      <c r="F71" s="49"/>
      <c r="G71" s="53"/>
      <c r="H71" s="52">
        <v>24</v>
      </c>
      <c r="I71" s="222">
        <f>(I40/2+J40*ROUNDUP(M40*(1+$N$44),1))</f>
        <v>2.2618964758731632</v>
      </c>
      <c r="J71" s="223">
        <f>+$J$52+$H$40</f>
        <v>26</v>
      </c>
      <c r="K71" s="223">
        <f>+K68</f>
        <v>100.98</v>
      </c>
      <c r="O71" s="49"/>
    </row>
    <row r="72" spans="1:15">
      <c r="A72" s="53"/>
      <c r="F72" s="49"/>
      <c r="G72" s="53"/>
      <c r="H72" s="52">
        <v>25</v>
      </c>
      <c r="I72" s="222">
        <f>(I41/2+J41*ROUNDUP(M41*(1+$N$44),1))</f>
        <v>2.6500000000000004</v>
      </c>
      <c r="J72" s="223">
        <f>+$J$52+$H$41</f>
        <v>27.5</v>
      </c>
      <c r="K72" s="223">
        <f>+K73+$L$45</f>
        <v>101</v>
      </c>
      <c r="O72" s="49"/>
    </row>
    <row r="73" spans="1:15">
      <c r="A73" s="53"/>
      <c r="F73" s="49"/>
      <c r="G73" s="53"/>
      <c r="H73" s="52">
        <v>26</v>
      </c>
      <c r="I73" s="222">
        <f>+I41/2</f>
        <v>1</v>
      </c>
      <c r="J73" s="223">
        <f>+$J$52+$H$41</f>
        <v>27.5</v>
      </c>
      <c r="K73" s="223">
        <f>+K53+$K$41</f>
        <v>99.9</v>
      </c>
      <c r="O73" s="49"/>
    </row>
    <row r="74" spans="1:15">
      <c r="A74" s="53"/>
      <c r="F74" s="49"/>
      <c r="G74" s="53"/>
      <c r="H74" s="52">
        <v>27</v>
      </c>
      <c r="I74" s="222">
        <f>-I41/2</f>
        <v>-1</v>
      </c>
      <c r="J74" s="223">
        <f>+$J$52+$H$41</f>
        <v>27.5</v>
      </c>
      <c r="K74" s="223">
        <f>+K54+$K$41</f>
        <v>99.9</v>
      </c>
      <c r="O74" s="49"/>
    </row>
    <row r="75" spans="1:15">
      <c r="A75" s="53"/>
      <c r="F75" s="49"/>
      <c r="G75" s="53"/>
      <c r="H75" s="52">
        <v>28</v>
      </c>
      <c r="I75" s="222">
        <f>-(I41/2+J41*ROUNDUP(M41*(1+$N$44),1))</f>
        <v>-2.6500000000000004</v>
      </c>
      <c r="J75" s="223">
        <f>+$J$52+$H$41</f>
        <v>27.5</v>
      </c>
      <c r="K75" s="223">
        <f>+K72</f>
        <v>101</v>
      </c>
      <c r="O75" s="49"/>
    </row>
    <row r="76" spans="1:15">
      <c r="A76" s="53"/>
      <c r="F76" s="49"/>
      <c r="G76" s="53"/>
      <c r="H76" s="52">
        <v>29</v>
      </c>
      <c r="I76" s="222">
        <f>+I75</f>
        <v>-2.6500000000000004</v>
      </c>
      <c r="J76" s="223">
        <f>+$J$52+$H$41+$L$46</f>
        <v>47.5</v>
      </c>
      <c r="K76" s="223">
        <f>+K72-$L$46*$D$7</f>
        <v>100.99</v>
      </c>
      <c r="O76" s="49"/>
    </row>
    <row r="77" spans="1:15">
      <c r="A77" s="53"/>
      <c r="B77" s="296"/>
      <c r="C77" s="296"/>
      <c r="D77" s="296"/>
      <c r="F77" s="49"/>
      <c r="G77" s="53"/>
      <c r="H77" s="52">
        <v>30</v>
      </c>
      <c r="I77" s="222">
        <f>+I74</f>
        <v>-1</v>
      </c>
      <c r="J77" s="223">
        <f>+$J$52+$H$41+$L$46</f>
        <v>47.5</v>
      </c>
      <c r="K77" s="223">
        <f>+K73-$L$46*$D$7</f>
        <v>99.89</v>
      </c>
      <c r="O77" s="49"/>
    </row>
    <row r="78" spans="1:15">
      <c r="A78" s="53"/>
      <c r="F78" s="49"/>
      <c r="G78" s="53"/>
      <c r="H78" s="52">
        <v>31</v>
      </c>
      <c r="I78" s="222">
        <f>+I73</f>
        <v>1</v>
      </c>
      <c r="J78" s="223">
        <f>+$J$52+$H$41+$L$46</f>
        <v>47.5</v>
      </c>
      <c r="K78" s="223">
        <f>+K74-$L$46*$D$7</f>
        <v>99.89</v>
      </c>
      <c r="O78" s="49"/>
    </row>
    <row r="79" spans="1:15">
      <c r="A79" s="53"/>
      <c r="F79" s="49"/>
      <c r="G79" s="53"/>
      <c r="H79" s="52">
        <v>32</v>
      </c>
      <c r="I79" s="222">
        <f>+I72</f>
        <v>2.6500000000000004</v>
      </c>
      <c r="J79" s="223">
        <f>+$J$52+$H$41+$L$46</f>
        <v>47.5</v>
      </c>
      <c r="K79" s="223">
        <f>+K75-$L$46*$D$7</f>
        <v>100.99</v>
      </c>
      <c r="O79" s="49"/>
    </row>
    <row r="80" spans="1:15">
      <c r="A80" s="53"/>
      <c r="F80" s="49"/>
      <c r="G80" s="53"/>
      <c r="O80" s="49"/>
    </row>
    <row r="81" spans="1:15">
      <c r="A81" s="53"/>
      <c r="F81" s="49"/>
      <c r="G81" s="53"/>
      <c r="O81" s="49"/>
    </row>
    <row r="82" spans="1:15">
      <c r="A82" s="53"/>
      <c r="F82" s="49"/>
      <c r="G82" s="53"/>
      <c r="H82" s="60" t="s">
        <v>116</v>
      </c>
      <c r="I82" s="60" t="s">
        <v>117</v>
      </c>
      <c r="J82" s="60" t="s">
        <v>118</v>
      </c>
      <c r="K82" s="60" t="s">
        <v>119</v>
      </c>
      <c r="L82" s="60" t="s">
        <v>120</v>
      </c>
      <c r="O82" s="49"/>
    </row>
    <row r="83" spans="1:15">
      <c r="A83" s="53"/>
      <c r="F83" s="49"/>
      <c r="G83" s="53"/>
      <c r="H83" s="21">
        <v>0</v>
      </c>
      <c r="I83" s="70">
        <f>+I84</f>
        <v>-1.75</v>
      </c>
      <c r="J83" s="70">
        <f>+J84</f>
        <v>-0.75</v>
      </c>
      <c r="K83" s="70">
        <f>+K84</f>
        <v>0.75</v>
      </c>
      <c r="L83" s="70">
        <f>+L84</f>
        <v>1.75</v>
      </c>
      <c r="O83" s="49"/>
    </row>
    <row r="84" spans="1:15">
      <c r="A84" s="53"/>
      <c r="F84" s="49"/>
      <c r="G84" s="53"/>
      <c r="H84" s="72">
        <f>+J52</f>
        <v>20</v>
      </c>
      <c r="I84" s="70">
        <f>+I52</f>
        <v>-1.75</v>
      </c>
      <c r="J84" s="70">
        <f>+I53</f>
        <v>-0.75</v>
      </c>
      <c r="K84" s="70">
        <f>+I54</f>
        <v>0.75</v>
      </c>
      <c r="L84" s="70">
        <f>+I55</f>
        <v>1.75</v>
      </c>
      <c r="O84" s="49"/>
    </row>
    <row r="85" spans="1:15">
      <c r="A85" s="53"/>
      <c r="F85" s="49"/>
      <c r="G85" s="53"/>
      <c r="H85" s="72">
        <f>+J56</f>
        <v>21.5</v>
      </c>
      <c r="I85" s="70">
        <f>+I59</f>
        <v>-1.7026020708700709</v>
      </c>
      <c r="J85" s="70">
        <f>+I58</f>
        <v>-0.75509430682003309</v>
      </c>
      <c r="K85" s="70">
        <f>+I57</f>
        <v>0.75509430682003309</v>
      </c>
      <c r="L85" s="70">
        <f>+I56</f>
        <v>1.7026020708700709</v>
      </c>
      <c r="O85" s="49"/>
    </row>
    <row r="86" spans="1:15">
      <c r="A86" s="53"/>
      <c r="F86" s="49"/>
      <c r="G86" s="53"/>
      <c r="H86" s="72">
        <f>+J60</f>
        <v>23</v>
      </c>
      <c r="I86" s="70">
        <f>+I60</f>
        <v>-1.8845091631663</v>
      </c>
      <c r="J86" s="70">
        <f>+I61</f>
        <v>-0.77180749778704183</v>
      </c>
      <c r="K86" s="70">
        <f>+I62</f>
        <v>0.77180749778704183</v>
      </c>
      <c r="L86" s="70">
        <f>+I63</f>
        <v>1.8845091631663</v>
      </c>
      <c r="O86" s="49"/>
    </row>
    <row r="87" spans="1:15">
      <c r="A87" s="53"/>
      <c r="F87" s="49"/>
      <c r="G87" s="53"/>
      <c r="H87" s="72">
        <f>+J64</f>
        <v>24.5</v>
      </c>
      <c r="I87" s="70">
        <f>+I67</f>
        <v>-1.9872879122572149</v>
      </c>
      <c r="J87" s="70">
        <f>+I66</f>
        <v>-0.8035156782740529</v>
      </c>
      <c r="K87" s="70">
        <f>+I65</f>
        <v>0.8035156782740529</v>
      </c>
      <c r="L87" s="70">
        <f>+I64</f>
        <v>1.9872879122572149</v>
      </c>
      <c r="O87" s="49"/>
    </row>
    <row r="88" spans="1:15">
      <c r="A88" s="53"/>
      <c r="F88" s="49"/>
      <c r="G88" s="53"/>
      <c r="H88" s="72">
        <f>+J68</f>
        <v>26</v>
      </c>
      <c r="I88" s="70">
        <f>+I68</f>
        <v>-2.2618964758731632</v>
      </c>
      <c r="J88" s="70">
        <f>+I69</f>
        <v>-0.85786395339814014</v>
      </c>
      <c r="K88" s="70">
        <f>+I70</f>
        <v>0.85786395339814014</v>
      </c>
      <c r="L88" s="70">
        <f>+I71</f>
        <v>2.2618964758731632</v>
      </c>
      <c r="O88" s="49"/>
    </row>
    <row r="89" spans="1:15">
      <c r="A89" s="53"/>
      <c r="F89" s="49"/>
      <c r="G89" s="53"/>
      <c r="H89" s="72">
        <f>+J72</f>
        <v>27.5</v>
      </c>
      <c r="I89" s="70">
        <f>+I75</f>
        <v>-2.6500000000000004</v>
      </c>
      <c r="J89" s="70">
        <f>+I74</f>
        <v>-1</v>
      </c>
      <c r="K89" s="70">
        <f>+I73</f>
        <v>1</v>
      </c>
      <c r="L89" s="70">
        <f>+I72</f>
        <v>2.6500000000000004</v>
      </c>
      <c r="O89" s="49"/>
    </row>
    <row r="90" spans="1:15">
      <c r="A90" s="53"/>
      <c r="F90" s="49"/>
      <c r="G90" s="53"/>
      <c r="H90" s="72">
        <f>+H89+L46</f>
        <v>47.5</v>
      </c>
      <c r="I90" s="70">
        <f>+I89</f>
        <v>-2.6500000000000004</v>
      </c>
      <c r="J90" s="70">
        <f>+J89</f>
        <v>-1</v>
      </c>
      <c r="K90" s="70">
        <f>+K89</f>
        <v>1</v>
      </c>
      <c r="L90" s="70">
        <f>+L89</f>
        <v>2.6500000000000004</v>
      </c>
      <c r="O90" s="49"/>
    </row>
    <row r="91" spans="1:15">
      <c r="A91" s="53"/>
      <c r="F91" s="49"/>
      <c r="G91" s="53"/>
      <c r="O91" s="49"/>
    </row>
    <row r="92" spans="1:15">
      <c r="A92" s="53"/>
      <c r="F92" s="49"/>
      <c r="G92" s="53"/>
      <c r="O92" s="49"/>
    </row>
    <row r="93" spans="1:15">
      <c r="A93" s="53"/>
      <c r="F93" s="49"/>
      <c r="G93" s="53"/>
      <c r="O93" s="49"/>
    </row>
    <row r="94" spans="1:15">
      <c r="A94" s="53"/>
      <c r="F94" s="49"/>
      <c r="G94" s="53"/>
      <c r="O94" s="49"/>
    </row>
    <row r="95" spans="1:15">
      <c r="A95" s="53"/>
      <c r="F95" s="49"/>
      <c r="G95" s="53"/>
      <c r="O95" s="49"/>
    </row>
    <row r="96" spans="1:15">
      <c r="A96" s="53"/>
      <c r="F96" s="49"/>
      <c r="G96" s="53"/>
      <c r="O96" s="49"/>
    </row>
    <row r="97" spans="1:15">
      <c r="A97" s="53"/>
      <c r="F97" s="49"/>
      <c r="G97" s="53"/>
      <c r="O97" s="49"/>
    </row>
    <row r="98" spans="1:15">
      <c r="A98" s="53"/>
      <c r="F98" s="49"/>
      <c r="G98" s="53"/>
      <c r="O98" s="49"/>
    </row>
    <row r="99" spans="1:15">
      <c r="A99" s="53"/>
      <c r="F99" s="49"/>
      <c r="G99" s="53"/>
      <c r="O99" s="49"/>
    </row>
    <row r="100" spans="1:15">
      <c r="A100" s="53"/>
      <c r="F100" s="49"/>
      <c r="G100" s="53"/>
      <c r="O100" s="49"/>
    </row>
    <row r="101" spans="1:15">
      <c r="A101" s="53"/>
      <c r="F101" s="49"/>
      <c r="G101" s="53"/>
      <c r="O101" s="49"/>
    </row>
    <row r="102" spans="1:15">
      <c r="A102" s="53"/>
      <c r="F102" s="49"/>
      <c r="G102" s="53"/>
      <c r="O102" s="49"/>
    </row>
    <row r="103" spans="1:15" ht="15" thickBot="1">
      <c r="A103" s="54"/>
      <c r="B103" s="41"/>
      <c r="C103" s="41"/>
      <c r="D103" s="41"/>
      <c r="E103" s="41"/>
      <c r="F103" s="55"/>
      <c r="G103" s="54"/>
      <c r="H103" s="41"/>
      <c r="I103" s="41"/>
      <c r="J103" s="41"/>
      <c r="K103" s="41"/>
      <c r="L103" s="41"/>
      <c r="M103" s="41"/>
      <c r="N103" s="41"/>
      <c r="O103" s="55"/>
    </row>
  </sheetData>
  <sheetProtection algorithmName="SHA-512" hashValue="RuHHOfmTeSThpcJHEZ2Ghg+RenO9NgfWbZl2UBdutYo6vLkBUov7o3qes/Xfvgh6vfPcQrwGcViEksaXwPOelQ==" saltValue="01r1mhExYq4PL+hXjR21WQ==" spinCount="100000" sheet="1" objects="1" scenarios="1" selectLockedCells="1"/>
  <mergeCells count="27">
    <mergeCell ref="B77:D77"/>
    <mergeCell ref="H46:K46"/>
    <mergeCell ref="H33:J33"/>
    <mergeCell ref="A43:E43"/>
    <mergeCell ref="H43:O43"/>
    <mergeCell ref="H31:J31"/>
    <mergeCell ref="H32:J32"/>
    <mergeCell ref="H28:I28"/>
    <mergeCell ref="H21:I21"/>
    <mergeCell ref="A31:C31"/>
    <mergeCell ref="A28:B28"/>
    <mergeCell ref="A2:D2"/>
    <mergeCell ref="A1:O1"/>
    <mergeCell ref="M51:M55"/>
    <mergeCell ref="N51:N55"/>
    <mergeCell ref="A3:B3"/>
    <mergeCell ref="A14:D14"/>
    <mergeCell ref="H14:O14"/>
    <mergeCell ref="A21:B21"/>
    <mergeCell ref="A46:C46"/>
    <mergeCell ref="E44:E45"/>
    <mergeCell ref="O44:O45"/>
    <mergeCell ref="H44:K44"/>
    <mergeCell ref="A16:C16"/>
    <mergeCell ref="A32:C32"/>
    <mergeCell ref="H45:K45"/>
    <mergeCell ref="A17:C17"/>
  </mergeCells>
  <pageMargins left="0.7" right="0.7" top="0.75" bottom="0.75" header="0.3" footer="0.3"/>
  <pageSetup scale="41" orientation="portrait" r:id="rId1"/>
  <ignoredErrors>
    <ignoredError sqref="I48:K79 B48:D63"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2054" r:id="rId4" name="Button 6">
              <controlPr defaultSize="0" print="0" autoFill="0" autoPict="0" macro="[0]!Botón6_Haga_clic_en">
                <anchor moveWithCells="1" sizeWithCells="1">
                  <from>
                    <xdr:col>4</xdr:col>
                    <xdr:colOff>361950</xdr:colOff>
                    <xdr:row>2</xdr:row>
                    <xdr:rowOff>9525</xdr:rowOff>
                  </from>
                  <to>
                    <xdr:col>6</xdr:col>
                    <xdr:colOff>361950</xdr:colOff>
                    <xdr:row>2</xdr:row>
                    <xdr:rowOff>628650</xdr:rowOff>
                  </to>
                </anchor>
              </controlPr>
            </control>
          </mc:Choice>
        </mc:AlternateContent>
        <mc:AlternateContent xmlns:mc="http://schemas.openxmlformats.org/markup-compatibility/2006">
          <mc:Choice Requires="x14">
            <control shapeId="2059" r:id="rId5" name="Button 11">
              <controlPr defaultSize="0" print="0" autoFill="0" autoPict="0" macro="[0]!Botón11_Haga_clic_en">
                <anchor moveWithCells="1" sizeWithCells="1">
                  <from>
                    <xdr:col>6</xdr:col>
                    <xdr:colOff>409575</xdr:colOff>
                    <xdr:row>2</xdr:row>
                    <xdr:rowOff>9525</xdr:rowOff>
                  </from>
                  <to>
                    <xdr:col>7</xdr:col>
                    <xdr:colOff>904875</xdr:colOff>
                    <xdr:row>2</xdr:row>
                    <xdr:rowOff>628650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B1:Z137"/>
  <sheetViews>
    <sheetView showGridLines="0" zoomScale="70" zoomScaleNormal="70" workbookViewId="0">
      <selection activeCell="F55" sqref="F55"/>
    </sheetView>
  </sheetViews>
  <sheetFormatPr baseColWidth="10" defaultColWidth="11.42578125" defaultRowHeight="14.25"/>
  <cols>
    <col min="1" max="1" width="11.42578125" style="21"/>
    <col min="2" max="2" width="4" style="21" customWidth="1"/>
    <col min="3" max="3" width="4.28515625" style="21" customWidth="1"/>
    <col min="4" max="4" width="11.42578125" style="21" customWidth="1"/>
    <col min="5" max="5" width="14.85546875" style="21" customWidth="1"/>
    <col min="6" max="7" width="11.42578125" style="21"/>
    <col min="8" max="8" width="3.42578125" style="21" customWidth="1"/>
    <col min="9" max="16384" width="11.42578125" style="21"/>
  </cols>
  <sheetData>
    <row r="1" spans="2:26" ht="34.5" thickBot="1">
      <c r="B1" s="351" t="s">
        <v>121</v>
      </c>
      <c r="C1" s="351"/>
      <c r="D1" s="351"/>
      <c r="E1" s="351"/>
      <c r="F1" s="351"/>
      <c r="G1" s="351"/>
      <c r="H1" s="351"/>
      <c r="I1" s="351"/>
      <c r="J1" s="351"/>
      <c r="K1" s="351"/>
      <c r="L1" s="351"/>
      <c r="M1" s="351"/>
      <c r="N1" s="351"/>
      <c r="O1" s="351"/>
      <c r="P1" s="351"/>
      <c r="Q1" s="351"/>
      <c r="R1" s="351"/>
      <c r="S1" s="351"/>
      <c r="T1" s="351"/>
      <c r="U1" s="351"/>
      <c r="V1" s="351"/>
      <c r="W1" s="137"/>
      <c r="X1" s="137"/>
      <c r="Y1" s="137"/>
      <c r="Z1" s="137"/>
    </row>
    <row r="2" spans="2:26" ht="33">
      <c r="B2" s="57"/>
      <c r="C2" s="138"/>
      <c r="D2" s="139"/>
      <c r="E2" s="139"/>
      <c r="F2" s="139"/>
      <c r="G2" s="139"/>
      <c r="H2" s="139"/>
      <c r="I2" s="139"/>
      <c r="J2" s="139"/>
      <c r="K2" s="139"/>
      <c r="L2" s="139"/>
      <c r="M2" s="139"/>
      <c r="N2" s="139"/>
      <c r="O2" s="139"/>
      <c r="P2" s="139"/>
      <c r="Q2" s="139"/>
      <c r="R2" s="139"/>
      <c r="S2" s="139"/>
      <c r="T2" s="139"/>
      <c r="U2" s="139"/>
      <c r="V2" s="139"/>
      <c r="W2" s="139"/>
      <c r="X2" s="140"/>
      <c r="Y2" s="141"/>
      <c r="Z2" s="141"/>
    </row>
    <row r="3" spans="2:26" ht="18">
      <c r="B3" s="53"/>
      <c r="D3" s="314" t="s">
        <v>122</v>
      </c>
      <c r="E3" s="314"/>
      <c r="F3" s="314"/>
      <c r="G3" s="314"/>
      <c r="X3" s="49"/>
    </row>
    <row r="4" spans="2:26" ht="15">
      <c r="B4" s="53"/>
      <c r="C4" s="127"/>
      <c r="D4" s="258"/>
      <c r="E4" s="258"/>
      <c r="F4" s="258"/>
      <c r="G4" s="258"/>
      <c r="H4" s="142"/>
      <c r="J4" s="127"/>
      <c r="K4" s="143"/>
      <c r="L4" s="143"/>
      <c r="M4" s="143"/>
      <c r="N4" s="143"/>
      <c r="O4" s="143"/>
      <c r="P4" s="143"/>
      <c r="Q4" s="143"/>
      <c r="R4" s="143"/>
      <c r="S4" s="143"/>
      <c r="T4" s="128"/>
      <c r="X4" s="49"/>
    </row>
    <row r="5" spans="2:26">
      <c r="B5" s="53"/>
      <c r="C5" s="144"/>
      <c r="D5" s="307" t="s">
        <v>123</v>
      </c>
      <c r="E5" s="308"/>
      <c r="F5" s="309"/>
      <c r="G5" s="310"/>
      <c r="H5" s="82"/>
      <c r="J5" s="144"/>
      <c r="T5" s="82"/>
      <c r="X5" s="49"/>
    </row>
    <row r="6" spans="2:26">
      <c r="B6" s="53"/>
      <c r="C6" s="144"/>
      <c r="D6" s="311" t="s">
        <v>124</v>
      </c>
      <c r="E6" s="312"/>
      <c r="F6" s="145">
        <v>35</v>
      </c>
      <c r="G6" s="146" t="s">
        <v>44</v>
      </c>
      <c r="H6" s="82"/>
      <c r="J6" s="144"/>
      <c r="T6" s="82"/>
      <c r="X6" s="49"/>
    </row>
    <row r="7" spans="2:26">
      <c r="B7" s="53"/>
      <c r="C7" s="144"/>
      <c r="D7" s="311" t="s">
        <v>125</v>
      </c>
      <c r="E7" s="312"/>
      <c r="F7" s="145">
        <v>55</v>
      </c>
      <c r="G7" s="146" t="s">
        <v>44</v>
      </c>
      <c r="H7" s="82"/>
      <c r="J7" s="144"/>
      <c r="T7" s="82"/>
      <c r="X7" s="49"/>
    </row>
    <row r="8" spans="2:26">
      <c r="B8" s="53"/>
      <c r="C8" s="144"/>
      <c r="D8" s="311" t="s">
        <v>126</v>
      </c>
      <c r="E8" s="312"/>
      <c r="F8" s="145">
        <v>15</v>
      </c>
      <c r="G8" s="146" t="s">
        <v>44</v>
      </c>
      <c r="H8" s="82"/>
      <c r="J8" s="144"/>
      <c r="T8" s="82"/>
      <c r="X8" s="49"/>
    </row>
    <row r="9" spans="2:26">
      <c r="B9" s="53"/>
      <c r="C9" s="144"/>
      <c r="H9" s="82"/>
      <c r="J9" s="144"/>
      <c r="T9" s="82"/>
      <c r="X9" s="49"/>
    </row>
    <row r="10" spans="2:26">
      <c r="B10" s="53"/>
      <c r="C10" s="144"/>
      <c r="D10" s="307" t="s">
        <v>127</v>
      </c>
      <c r="E10" s="308"/>
      <c r="F10" s="309"/>
      <c r="G10" s="310"/>
      <c r="H10" s="82"/>
      <c r="J10" s="144"/>
      <c r="T10" s="82"/>
      <c r="X10" s="49"/>
    </row>
    <row r="11" spans="2:26">
      <c r="B11" s="53"/>
      <c r="C11" s="144"/>
      <c r="D11" s="311" t="s">
        <v>128</v>
      </c>
      <c r="E11" s="312"/>
      <c r="F11" s="145">
        <v>1090</v>
      </c>
      <c r="G11" s="146" t="s">
        <v>44</v>
      </c>
      <c r="H11" s="82"/>
      <c r="J11" s="144"/>
      <c r="T11" s="82"/>
      <c r="X11" s="49"/>
    </row>
    <row r="12" spans="2:26">
      <c r="B12" s="53"/>
      <c r="C12" s="144"/>
      <c r="D12" s="311" t="s">
        <v>129</v>
      </c>
      <c r="E12" s="312"/>
      <c r="F12" s="145">
        <v>1081.43</v>
      </c>
      <c r="G12" s="146" t="s">
        <v>44</v>
      </c>
      <c r="H12" s="82"/>
      <c r="J12" s="144"/>
      <c r="T12" s="82"/>
      <c r="X12" s="49"/>
    </row>
    <row r="13" spans="2:26">
      <c r="B13" s="53"/>
      <c r="C13" s="144"/>
      <c r="D13" s="311" t="s">
        <v>130</v>
      </c>
      <c r="E13" s="312"/>
      <c r="F13" s="145">
        <v>1078.71</v>
      </c>
      <c r="G13" s="146" t="s">
        <v>44</v>
      </c>
      <c r="H13" s="82"/>
      <c r="J13" s="144"/>
      <c r="T13" s="82"/>
      <c r="X13" s="49"/>
    </row>
    <row r="14" spans="2:26">
      <c r="B14" s="53"/>
      <c r="C14" s="144"/>
      <c r="H14" s="82"/>
      <c r="J14" s="144"/>
      <c r="T14" s="82"/>
      <c r="X14" s="49"/>
    </row>
    <row r="15" spans="2:26">
      <c r="B15" s="53"/>
      <c r="C15" s="144"/>
      <c r="D15" s="302" t="s">
        <v>131</v>
      </c>
      <c r="E15" s="302"/>
      <c r="F15" s="313"/>
      <c r="G15" s="313"/>
      <c r="H15" s="82"/>
      <c r="J15" s="144"/>
      <c r="T15" s="82"/>
      <c r="X15" s="49"/>
    </row>
    <row r="16" spans="2:26">
      <c r="B16" s="53"/>
      <c r="C16" s="144"/>
      <c r="D16" s="311" t="s">
        <v>45</v>
      </c>
      <c r="E16" s="312"/>
      <c r="F16" s="147">
        <v>2</v>
      </c>
      <c r="G16" s="146" t="s">
        <v>46</v>
      </c>
      <c r="H16" s="82"/>
      <c r="J16" s="144"/>
      <c r="T16" s="82"/>
      <c r="X16" s="49"/>
    </row>
    <row r="17" spans="2:24">
      <c r="B17" s="53"/>
      <c r="C17" s="144"/>
      <c r="H17" s="82"/>
      <c r="J17" s="144"/>
      <c r="T17" s="82"/>
      <c r="X17" s="49"/>
    </row>
    <row r="18" spans="2:24">
      <c r="B18" s="53"/>
      <c r="C18" s="144"/>
      <c r="D18" s="307" t="s">
        <v>132</v>
      </c>
      <c r="E18" s="308"/>
      <c r="F18" s="309"/>
      <c r="G18" s="310"/>
      <c r="H18" s="82"/>
      <c r="J18" s="144"/>
      <c r="T18" s="82"/>
      <c r="X18" s="49"/>
    </row>
    <row r="19" spans="2:24">
      <c r="B19" s="53"/>
      <c r="C19" s="144"/>
      <c r="D19" s="311" t="s">
        <v>74</v>
      </c>
      <c r="E19" s="312"/>
      <c r="F19" s="145">
        <v>1</v>
      </c>
      <c r="G19" s="146" t="s">
        <v>48</v>
      </c>
      <c r="H19" s="82"/>
      <c r="J19" s="144"/>
      <c r="T19" s="82"/>
      <c r="X19" s="49"/>
    </row>
    <row r="20" spans="2:24">
      <c r="B20" s="53"/>
      <c r="C20" s="144"/>
      <c r="D20" s="311" t="s">
        <v>133</v>
      </c>
      <c r="E20" s="312"/>
      <c r="F20" s="145">
        <v>1</v>
      </c>
      <c r="G20" s="146" t="s">
        <v>44</v>
      </c>
      <c r="H20" s="82"/>
      <c r="J20" s="144"/>
      <c r="T20" s="82"/>
      <c r="X20" s="49"/>
    </row>
    <row r="21" spans="2:24">
      <c r="B21" s="53"/>
      <c r="C21" s="144"/>
      <c r="D21" s="311" t="s">
        <v>134</v>
      </c>
      <c r="E21" s="312"/>
      <c r="F21" s="145">
        <v>1.7999999999999999E-2</v>
      </c>
      <c r="G21" s="146"/>
      <c r="H21" s="82"/>
      <c r="J21" s="144"/>
      <c r="T21" s="82"/>
      <c r="X21" s="49"/>
    </row>
    <row r="22" spans="2:24">
      <c r="B22" s="53"/>
      <c r="C22" s="144"/>
      <c r="D22" s="311" t="s">
        <v>135</v>
      </c>
      <c r="E22" s="312"/>
      <c r="F22" s="145">
        <v>5.0000000000000001E-4</v>
      </c>
      <c r="G22" s="146" t="s">
        <v>48</v>
      </c>
      <c r="H22" s="82"/>
      <c r="J22" s="144"/>
      <c r="T22" s="82"/>
      <c r="X22" s="49"/>
    </row>
    <row r="23" spans="2:24">
      <c r="B23" s="53"/>
      <c r="C23" s="144"/>
      <c r="H23" s="82"/>
      <c r="J23" s="144"/>
      <c r="T23" s="82"/>
      <c r="X23" s="49"/>
    </row>
    <row r="24" spans="2:24">
      <c r="B24" s="53"/>
      <c r="C24" s="144"/>
      <c r="D24" s="307" t="s">
        <v>136</v>
      </c>
      <c r="E24" s="308"/>
      <c r="F24" s="309"/>
      <c r="G24" s="310"/>
      <c r="H24" s="82"/>
      <c r="J24" s="144"/>
      <c r="T24" s="82"/>
      <c r="X24" s="49"/>
    </row>
    <row r="25" spans="2:24">
      <c r="B25" s="53"/>
      <c r="C25" s="144"/>
      <c r="D25" s="311" t="s">
        <v>74</v>
      </c>
      <c r="E25" s="312"/>
      <c r="F25" s="145">
        <f>+F19</f>
        <v>1</v>
      </c>
      <c r="G25" s="146" t="s">
        <v>48</v>
      </c>
      <c r="H25" s="82"/>
      <c r="J25" s="144"/>
      <c r="T25" s="82"/>
      <c r="X25" s="49"/>
    </row>
    <row r="26" spans="2:24">
      <c r="B26" s="53"/>
      <c r="C26" s="144"/>
      <c r="D26" s="311" t="s">
        <v>133</v>
      </c>
      <c r="E26" s="312"/>
      <c r="F26" s="145">
        <f>+F20</f>
        <v>1</v>
      </c>
      <c r="G26" s="146" t="s">
        <v>44</v>
      </c>
      <c r="H26" s="82"/>
      <c r="J26" s="129"/>
      <c r="K26" s="148"/>
      <c r="L26" s="148"/>
      <c r="M26" s="148"/>
      <c r="N26" s="148"/>
      <c r="O26" s="148"/>
      <c r="P26" s="148"/>
      <c r="Q26" s="148"/>
      <c r="R26" s="148"/>
      <c r="S26" s="148"/>
      <c r="T26" s="80"/>
      <c r="X26" s="49"/>
    </row>
    <row r="27" spans="2:24">
      <c r="B27" s="53"/>
      <c r="C27" s="144"/>
      <c r="D27" s="311" t="s">
        <v>134</v>
      </c>
      <c r="E27" s="312"/>
      <c r="F27" s="145">
        <f>+F21</f>
        <v>1.7999999999999999E-2</v>
      </c>
      <c r="G27" s="146"/>
      <c r="H27" s="82"/>
      <c r="X27" s="49"/>
    </row>
    <row r="28" spans="2:24">
      <c r="B28" s="53"/>
      <c r="C28" s="144"/>
      <c r="D28" s="311" t="s">
        <v>135</v>
      </c>
      <c r="E28" s="312"/>
      <c r="F28" s="145">
        <f>+F22</f>
        <v>5.0000000000000001E-4</v>
      </c>
      <c r="G28" s="146" t="s">
        <v>48</v>
      </c>
      <c r="H28" s="82"/>
      <c r="X28" s="49"/>
    </row>
    <row r="29" spans="2:24">
      <c r="B29" s="53"/>
      <c r="C29" s="129"/>
      <c r="D29" s="148"/>
      <c r="E29" s="148"/>
      <c r="F29" s="148"/>
      <c r="G29" s="148"/>
      <c r="H29" s="80"/>
      <c r="X29" s="49"/>
    </row>
    <row r="30" spans="2:24" ht="15" thickBot="1">
      <c r="B30" s="54"/>
      <c r="C30" s="41"/>
      <c r="D30" s="41"/>
      <c r="E30" s="41"/>
      <c r="F30" s="41"/>
      <c r="G30" s="41"/>
      <c r="H30" s="41"/>
      <c r="I30" s="41"/>
      <c r="J30" s="41"/>
      <c r="K30" s="41"/>
      <c r="L30" s="41"/>
      <c r="M30" s="41"/>
      <c r="N30" s="41"/>
      <c r="O30" s="41"/>
      <c r="P30" s="41"/>
      <c r="Q30" s="41"/>
      <c r="R30" s="41"/>
      <c r="S30" s="41"/>
      <c r="T30" s="41"/>
      <c r="U30" s="41"/>
      <c r="V30" s="41"/>
      <c r="W30" s="41"/>
      <c r="X30" s="55"/>
    </row>
    <row r="32" spans="2:24" ht="33.75" thickBot="1">
      <c r="B32" s="315" t="s">
        <v>137</v>
      </c>
      <c r="C32" s="315"/>
      <c r="D32" s="315"/>
      <c r="E32" s="315"/>
      <c r="F32" s="315"/>
      <c r="G32" s="315"/>
      <c r="H32" s="315"/>
      <c r="I32" s="315"/>
      <c r="J32" s="315"/>
      <c r="K32" s="315"/>
      <c r="L32" s="315"/>
      <c r="M32" s="315"/>
      <c r="N32" s="315"/>
      <c r="O32" s="315"/>
      <c r="P32" s="315"/>
      <c r="Q32" s="315"/>
      <c r="R32" s="315"/>
      <c r="S32" s="315"/>
      <c r="T32" s="315"/>
      <c r="U32" s="315"/>
      <c r="V32" s="315"/>
    </row>
    <row r="33" spans="2:22">
      <c r="B33" s="57"/>
      <c r="C33" s="138"/>
      <c r="D33" s="138"/>
      <c r="E33" s="138"/>
      <c r="F33" s="138"/>
      <c r="G33" s="138"/>
      <c r="H33" s="138"/>
      <c r="I33" s="138"/>
      <c r="J33" s="138"/>
      <c r="K33" s="138"/>
      <c r="L33" s="138"/>
      <c r="M33" s="138"/>
      <c r="N33" s="138"/>
      <c r="O33" s="138"/>
      <c r="P33" s="138"/>
      <c r="Q33" s="138"/>
      <c r="R33" s="138"/>
      <c r="S33" s="138"/>
      <c r="T33" s="138"/>
      <c r="U33" s="138"/>
      <c r="V33" s="58"/>
    </row>
    <row r="34" spans="2:22">
      <c r="B34" s="53"/>
      <c r="V34" s="49"/>
    </row>
    <row r="35" spans="2:22" ht="18">
      <c r="B35" s="53"/>
      <c r="D35" s="307" t="s">
        <v>123</v>
      </c>
      <c r="E35" s="308"/>
      <c r="F35" s="308"/>
      <c r="G35" s="320"/>
      <c r="L35" s="317" t="s">
        <v>138</v>
      </c>
      <c r="M35" s="318"/>
      <c r="N35" s="318"/>
      <c r="O35" s="318"/>
      <c r="P35" s="318"/>
      <c r="Q35" s="318"/>
      <c r="R35" s="318"/>
      <c r="S35" s="318"/>
      <c r="T35" s="318"/>
      <c r="U35" s="319"/>
      <c r="V35" s="49"/>
    </row>
    <row r="36" spans="2:22">
      <c r="B36" s="53"/>
      <c r="D36" s="302" t="s">
        <v>139</v>
      </c>
      <c r="E36" s="260"/>
      <c r="F36" s="25">
        <f>+F6</f>
        <v>35</v>
      </c>
      <c r="G36" s="36" t="s">
        <v>44</v>
      </c>
      <c r="L36" s="144"/>
      <c r="U36" s="82"/>
      <c r="V36" s="49"/>
    </row>
    <row r="37" spans="2:22">
      <c r="B37" s="53"/>
      <c r="D37" s="302" t="s">
        <v>140</v>
      </c>
      <c r="E37" s="260"/>
      <c r="F37" s="25">
        <f>+'Memoría de cálculo Rápida'!D56</f>
        <v>4.5</v>
      </c>
      <c r="G37" s="36" t="s">
        <v>44</v>
      </c>
      <c r="L37" s="144"/>
      <c r="U37" s="82"/>
      <c r="V37" s="49"/>
    </row>
    <row r="38" spans="2:22">
      <c r="B38" s="53"/>
      <c r="D38" s="302" t="s">
        <v>141</v>
      </c>
      <c r="E38" s="260"/>
      <c r="F38" s="25">
        <f>+F7</f>
        <v>55</v>
      </c>
      <c r="G38" s="36" t="s">
        <v>44</v>
      </c>
      <c r="L38" s="144"/>
      <c r="U38" s="82"/>
      <c r="V38" s="49"/>
    </row>
    <row r="39" spans="2:22">
      <c r="B39" s="53"/>
      <c r="D39" s="302" t="s">
        <v>142</v>
      </c>
      <c r="E39" s="260"/>
      <c r="F39" s="25">
        <f>+'Memoría de cálculo Rápida'!D172</f>
        <v>7.993000000001004</v>
      </c>
      <c r="G39" s="36" t="s">
        <v>44</v>
      </c>
      <c r="L39" s="144"/>
      <c r="U39" s="82"/>
      <c r="V39" s="49"/>
    </row>
    <row r="40" spans="2:22">
      <c r="B40" s="53"/>
      <c r="D40" s="302" t="s">
        <v>143</v>
      </c>
      <c r="E40" s="260"/>
      <c r="F40" s="25">
        <f>+'Memoría de cálculo Rápida'!D201</f>
        <v>10.074226446319384</v>
      </c>
      <c r="G40" s="36" t="s">
        <v>44</v>
      </c>
      <c r="L40" s="144"/>
      <c r="U40" s="82"/>
      <c r="V40" s="49"/>
    </row>
    <row r="41" spans="2:22">
      <c r="B41" s="53"/>
      <c r="D41" s="302" t="s">
        <v>144</v>
      </c>
      <c r="E41" s="260"/>
      <c r="F41" s="25">
        <f>+'Memoría de cálculo Rápida'!D203*2</f>
        <v>1.8731057451022934</v>
      </c>
      <c r="G41" s="36" t="s">
        <v>44</v>
      </c>
      <c r="L41" s="144"/>
      <c r="U41" s="82"/>
      <c r="V41" s="49"/>
    </row>
    <row r="42" spans="2:22">
      <c r="B42" s="53"/>
      <c r="D42" s="302" t="s">
        <v>145</v>
      </c>
      <c r="E42" s="260"/>
      <c r="F42" s="25">
        <f>+'Memoría de cálculo Rápida'!M56</f>
        <v>4.5999999999999996</v>
      </c>
      <c r="G42" s="36" t="s">
        <v>44</v>
      </c>
      <c r="L42" s="144"/>
      <c r="U42" s="82"/>
      <c r="V42" s="49"/>
    </row>
    <row r="43" spans="2:22">
      <c r="B43" s="53"/>
      <c r="D43" s="302" t="s">
        <v>146</v>
      </c>
      <c r="E43" s="260"/>
      <c r="F43" s="25">
        <f>+F8</f>
        <v>15</v>
      </c>
      <c r="G43" s="36" t="s">
        <v>44</v>
      </c>
      <c r="L43" s="144"/>
      <c r="U43" s="82"/>
      <c r="V43" s="49"/>
    </row>
    <row r="44" spans="2:22">
      <c r="B44" s="53"/>
      <c r="D44" s="302" t="s">
        <v>147</v>
      </c>
      <c r="E44" s="260"/>
      <c r="F44" s="25">
        <f>+F42+F41+F40+F39+F38+F37</f>
        <v>84.040332191422678</v>
      </c>
      <c r="G44" s="36" t="s">
        <v>44</v>
      </c>
      <c r="L44" s="144"/>
      <c r="U44" s="82"/>
      <c r="V44" s="49"/>
    </row>
    <row r="45" spans="2:22">
      <c r="B45" s="53"/>
      <c r="L45" s="144"/>
      <c r="U45" s="82"/>
      <c r="V45" s="49"/>
    </row>
    <row r="46" spans="2:22">
      <c r="B46" s="53"/>
      <c r="D46" s="305" t="s">
        <v>127</v>
      </c>
      <c r="E46" s="305"/>
      <c r="F46" s="306"/>
      <c r="G46" s="306"/>
      <c r="H46" s="306"/>
      <c r="I46" s="306"/>
      <c r="J46" s="306"/>
      <c r="L46" s="144"/>
      <c r="U46" s="82"/>
      <c r="V46" s="49"/>
    </row>
    <row r="47" spans="2:22">
      <c r="B47" s="53"/>
      <c r="D47" s="129"/>
      <c r="E47" s="148"/>
      <c r="F47" s="302" t="s">
        <v>148</v>
      </c>
      <c r="G47" s="302"/>
      <c r="H47" s="23"/>
      <c r="I47" s="302" t="s">
        <v>149</v>
      </c>
      <c r="J47" s="302"/>
      <c r="L47" s="144"/>
      <c r="U47" s="82"/>
      <c r="V47" s="49"/>
    </row>
    <row r="48" spans="2:22">
      <c r="B48" s="53"/>
      <c r="D48" s="303" t="s">
        <v>150</v>
      </c>
      <c r="E48" s="304"/>
      <c r="F48" s="149">
        <f>+'Memoría de cálculo Rápida'!D226</f>
        <v>1090.0174999999999</v>
      </c>
      <c r="G48" s="80" t="s">
        <v>44</v>
      </c>
      <c r="I48" s="149">
        <f>+'Memoría de cálculo Rápida'!D225</f>
        <v>1091.5174999999999</v>
      </c>
      <c r="J48" s="80" t="s">
        <v>44</v>
      </c>
      <c r="L48" s="144"/>
      <c r="U48" s="82"/>
      <c r="V48" s="49"/>
    </row>
    <row r="49" spans="2:22">
      <c r="B49" s="53"/>
      <c r="D49" s="302" t="s">
        <v>128</v>
      </c>
      <c r="E49" s="260"/>
      <c r="F49" s="29">
        <f>+'Memoría de cálculo Rápida'!D230</f>
        <v>1090</v>
      </c>
      <c r="G49" s="36" t="s">
        <v>44</v>
      </c>
      <c r="I49" s="29">
        <f>+'Memoría de cálculo Rápida'!D232</f>
        <v>1091.5</v>
      </c>
      <c r="J49" s="36" t="s">
        <v>44</v>
      </c>
      <c r="L49" s="144"/>
      <c r="U49" s="82"/>
      <c r="V49" s="49"/>
    </row>
    <row r="50" spans="2:22">
      <c r="B50" s="53"/>
      <c r="D50" s="302" t="s">
        <v>151</v>
      </c>
      <c r="E50" s="260"/>
      <c r="F50" s="29">
        <f>+'Memoría de cálculo Rápida'!D42</f>
        <v>1090.0705291535774</v>
      </c>
      <c r="G50" s="36" t="s">
        <v>44</v>
      </c>
      <c r="I50" s="29">
        <f>+'Memoría de cálculo Rápida'!D236</f>
        <v>1091.0705291535774</v>
      </c>
      <c r="J50" s="36" t="s">
        <v>44</v>
      </c>
      <c r="L50" s="144"/>
      <c r="U50" s="82"/>
      <c r="V50" s="49"/>
    </row>
    <row r="51" spans="2:22">
      <c r="B51" s="53"/>
      <c r="D51" s="302" t="s">
        <v>129</v>
      </c>
      <c r="E51" s="260"/>
      <c r="F51" s="29">
        <f>+F12</f>
        <v>1081.43</v>
      </c>
      <c r="G51" s="36" t="s">
        <v>44</v>
      </c>
      <c r="I51" s="29">
        <f>+'Memoría de cálculo Rápida'!D240</f>
        <v>1082.43</v>
      </c>
      <c r="J51" s="36" t="s">
        <v>44</v>
      </c>
      <c r="L51" s="144"/>
      <c r="U51" s="82"/>
      <c r="V51" s="49"/>
    </row>
    <row r="52" spans="2:22">
      <c r="B52" s="53"/>
      <c r="D52" s="302" t="s">
        <v>152</v>
      </c>
      <c r="E52" s="260"/>
      <c r="F52" s="29">
        <f>+'Memoría de cálculo Rápida'!D171</f>
        <v>1077.7734471274489</v>
      </c>
      <c r="G52" s="36" t="s">
        <v>44</v>
      </c>
      <c r="I52" s="29">
        <f>+'Memoría de cálculo Rápida'!D253</f>
        <v>1080.21</v>
      </c>
      <c r="J52" s="36" t="s">
        <v>44</v>
      </c>
      <c r="L52" s="129"/>
      <c r="M52" s="148"/>
      <c r="N52" s="148"/>
      <c r="O52" s="148"/>
      <c r="P52" s="148"/>
      <c r="Q52" s="148"/>
      <c r="R52" s="148"/>
      <c r="S52" s="148"/>
      <c r="T52" s="148"/>
      <c r="U52" s="80"/>
      <c r="V52" s="49"/>
    </row>
    <row r="53" spans="2:22">
      <c r="B53" s="53"/>
      <c r="D53" s="302" t="s">
        <v>153</v>
      </c>
      <c r="E53" s="260"/>
      <c r="F53" s="29">
        <f>+F52</f>
        <v>1077.7734471274489</v>
      </c>
      <c r="G53" s="36" t="s">
        <v>44</v>
      </c>
      <c r="I53" s="29">
        <f>+I52</f>
        <v>1080.21</v>
      </c>
      <c r="J53" s="36" t="s">
        <v>44</v>
      </c>
      <c r="V53" s="49"/>
    </row>
    <row r="54" spans="2:22" ht="18">
      <c r="B54" s="53"/>
      <c r="D54" s="302" t="s">
        <v>130</v>
      </c>
      <c r="E54" s="260"/>
      <c r="F54" s="29">
        <f>+F13</f>
        <v>1078.71</v>
      </c>
      <c r="G54" s="36" t="s">
        <v>44</v>
      </c>
      <c r="I54" s="29">
        <f>+'Memoría de cálculo Rápida'!D261</f>
        <v>1080.21</v>
      </c>
      <c r="J54" s="36" t="s">
        <v>44</v>
      </c>
      <c r="L54" s="317" t="s">
        <v>154</v>
      </c>
      <c r="M54" s="318"/>
      <c r="N54" s="318"/>
      <c r="O54" s="318"/>
      <c r="P54" s="318"/>
      <c r="Q54" s="318"/>
      <c r="R54" s="318"/>
      <c r="S54" s="318"/>
      <c r="T54" s="318"/>
      <c r="U54" s="319"/>
      <c r="V54" s="49"/>
    </row>
    <row r="55" spans="2:22">
      <c r="B55" s="53"/>
      <c r="D55" s="302" t="s">
        <v>155</v>
      </c>
      <c r="E55" s="260"/>
      <c r="F55" s="29">
        <f>+F54</f>
        <v>1078.71</v>
      </c>
      <c r="G55" s="36" t="s">
        <v>44</v>
      </c>
      <c r="I55" s="29">
        <f>+I54</f>
        <v>1080.21</v>
      </c>
      <c r="J55" s="36" t="s">
        <v>44</v>
      </c>
      <c r="L55" s="144"/>
      <c r="U55" s="82"/>
      <c r="V55" s="49"/>
    </row>
    <row r="56" spans="2:22">
      <c r="B56" s="53"/>
      <c r="D56" s="302" t="s">
        <v>156</v>
      </c>
      <c r="E56" s="260"/>
      <c r="F56" s="29">
        <f>+'Memoría de cálculo Rápida'!D271</f>
        <v>1078.7025000000001</v>
      </c>
      <c r="G56" s="36" t="s">
        <v>44</v>
      </c>
      <c r="I56" s="29">
        <f>+'Memoría de cálculo Rápida'!D272</f>
        <v>1080.2025000000001</v>
      </c>
      <c r="J56" s="36" t="s">
        <v>44</v>
      </c>
      <c r="L56" s="144"/>
      <c r="U56" s="82"/>
      <c r="V56" s="49"/>
    </row>
    <row r="57" spans="2:22">
      <c r="B57" s="53"/>
      <c r="L57" s="144"/>
      <c r="U57" s="82"/>
      <c r="V57" s="49"/>
    </row>
    <row r="58" spans="2:22">
      <c r="B58" s="53"/>
      <c r="L58" s="144"/>
      <c r="U58" s="82"/>
      <c r="V58" s="49"/>
    </row>
    <row r="59" spans="2:22">
      <c r="B59" s="53"/>
      <c r="L59" s="144"/>
      <c r="U59" s="82"/>
      <c r="V59" s="49"/>
    </row>
    <row r="60" spans="2:22">
      <c r="B60" s="53"/>
      <c r="L60" s="144"/>
      <c r="U60" s="82"/>
      <c r="V60" s="49"/>
    </row>
    <row r="61" spans="2:22">
      <c r="B61" s="53"/>
      <c r="L61" s="144"/>
      <c r="U61" s="82"/>
      <c r="V61" s="49"/>
    </row>
    <row r="62" spans="2:22">
      <c r="B62" s="53"/>
      <c r="L62" s="144"/>
      <c r="U62" s="82"/>
      <c r="V62" s="49"/>
    </row>
    <row r="63" spans="2:22">
      <c r="B63" s="53"/>
      <c r="L63" s="144"/>
      <c r="U63" s="82"/>
      <c r="V63" s="49"/>
    </row>
    <row r="64" spans="2:22">
      <c r="B64" s="53"/>
      <c r="L64" s="144"/>
      <c r="U64" s="82"/>
      <c r="V64" s="49"/>
    </row>
    <row r="65" spans="2:22">
      <c r="B65" s="53"/>
      <c r="L65" s="144"/>
      <c r="U65" s="82"/>
      <c r="V65" s="49"/>
    </row>
    <row r="66" spans="2:22">
      <c r="B66" s="53"/>
      <c r="L66" s="144"/>
      <c r="U66" s="82"/>
      <c r="V66" s="49"/>
    </row>
    <row r="67" spans="2:22">
      <c r="B67" s="53"/>
      <c r="L67" s="144"/>
      <c r="U67" s="82"/>
      <c r="V67" s="49"/>
    </row>
    <row r="68" spans="2:22">
      <c r="B68" s="53"/>
      <c r="L68" s="144"/>
      <c r="U68" s="82"/>
      <c r="V68" s="49"/>
    </row>
    <row r="69" spans="2:22">
      <c r="B69" s="53"/>
      <c r="L69" s="144"/>
      <c r="U69" s="82"/>
      <c r="V69" s="49"/>
    </row>
    <row r="70" spans="2:22">
      <c r="B70" s="53"/>
      <c r="L70" s="144"/>
      <c r="U70" s="82"/>
      <c r="V70" s="49"/>
    </row>
    <row r="71" spans="2:22">
      <c r="B71" s="53"/>
      <c r="L71" s="144"/>
      <c r="U71" s="82"/>
      <c r="V71" s="49"/>
    </row>
    <row r="72" spans="2:22">
      <c r="B72" s="53"/>
      <c r="L72" s="144"/>
      <c r="U72" s="82"/>
      <c r="V72" s="49"/>
    </row>
    <row r="73" spans="2:22">
      <c r="B73" s="53"/>
      <c r="L73" s="144"/>
      <c r="U73" s="82"/>
      <c r="V73" s="49"/>
    </row>
    <row r="74" spans="2:22">
      <c r="B74" s="53"/>
      <c r="L74" s="144"/>
      <c r="U74" s="82"/>
      <c r="V74" s="49"/>
    </row>
    <row r="75" spans="2:22">
      <c r="B75" s="53"/>
      <c r="L75" s="144"/>
      <c r="U75" s="82"/>
      <c r="V75" s="49"/>
    </row>
    <row r="76" spans="2:22">
      <c r="B76" s="53"/>
      <c r="L76" s="144"/>
      <c r="U76" s="82"/>
      <c r="V76" s="49"/>
    </row>
    <row r="77" spans="2:22">
      <c r="B77" s="53"/>
      <c r="L77" s="144"/>
      <c r="U77" s="82"/>
      <c r="V77" s="49"/>
    </row>
    <row r="78" spans="2:22">
      <c r="B78" s="53"/>
      <c r="L78" s="144"/>
      <c r="U78" s="82"/>
      <c r="V78" s="49"/>
    </row>
    <row r="79" spans="2:22">
      <c r="B79" s="53"/>
      <c r="L79" s="144"/>
      <c r="U79" s="82"/>
      <c r="V79" s="49"/>
    </row>
    <row r="80" spans="2:22">
      <c r="B80" s="53"/>
      <c r="L80" s="144"/>
      <c r="U80" s="82"/>
      <c r="V80" s="49"/>
    </row>
    <row r="81" spans="2:22">
      <c r="B81" s="53"/>
      <c r="L81" s="129"/>
      <c r="M81" s="148"/>
      <c r="N81" s="148"/>
      <c r="O81" s="148"/>
      <c r="P81" s="148"/>
      <c r="Q81" s="148"/>
      <c r="R81" s="148"/>
      <c r="S81" s="148"/>
      <c r="T81" s="148"/>
      <c r="U81" s="80"/>
      <c r="V81" s="49"/>
    </row>
    <row r="82" spans="2:22" ht="15" thickBot="1">
      <c r="B82" s="54"/>
      <c r="C82" s="41"/>
      <c r="D82" s="41"/>
      <c r="E82" s="41"/>
      <c r="F82" s="41"/>
      <c r="G82" s="41"/>
      <c r="H82" s="41"/>
      <c r="I82" s="41"/>
      <c r="J82" s="41"/>
      <c r="K82" s="41"/>
      <c r="L82" s="41"/>
      <c r="M82" s="41"/>
      <c r="N82" s="41"/>
      <c r="O82" s="41"/>
      <c r="P82" s="41"/>
      <c r="Q82" s="41"/>
      <c r="R82" s="41"/>
      <c r="S82" s="41"/>
      <c r="T82" s="41"/>
      <c r="U82" s="41"/>
      <c r="V82" s="55"/>
    </row>
    <row r="85" spans="2:22" ht="33.75" thickBot="1">
      <c r="B85" s="315" t="s">
        <v>157</v>
      </c>
      <c r="C85" s="315"/>
      <c r="D85" s="315"/>
      <c r="E85" s="315"/>
      <c r="F85" s="315"/>
      <c r="G85" s="315"/>
      <c r="H85" s="315"/>
      <c r="I85" s="315"/>
      <c r="J85" s="315"/>
      <c r="K85" s="315"/>
      <c r="L85" s="315"/>
      <c r="M85" s="315"/>
      <c r="N85" s="315"/>
      <c r="O85" s="315"/>
      <c r="P85" s="315"/>
      <c r="Q85" s="315"/>
      <c r="R85" s="315"/>
      <c r="S85" s="315"/>
      <c r="T85" s="315"/>
      <c r="U85" s="315"/>
      <c r="V85" s="315"/>
    </row>
    <row r="86" spans="2:22" ht="15" thickBot="1">
      <c r="B86" s="57"/>
      <c r="C86" s="138"/>
      <c r="D86" s="138"/>
      <c r="E86" s="138"/>
      <c r="F86" s="138"/>
      <c r="G86" s="138"/>
      <c r="H86" s="138"/>
      <c r="I86" s="138"/>
      <c r="J86" s="138"/>
      <c r="K86" s="138"/>
      <c r="L86" s="138"/>
      <c r="M86" s="138"/>
      <c r="N86" s="138"/>
      <c r="O86" s="138"/>
      <c r="P86" s="138"/>
      <c r="Q86" s="138"/>
      <c r="R86" s="138"/>
      <c r="S86" s="138"/>
      <c r="T86" s="138"/>
      <c r="U86" s="138"/>
      <c r="V86" s="58"/>
    </row>
    <row r="87" spans="2:22" ht="18.75" thickBot="1">
      <c r="B87" s="53"/>
      <c r="D87" s="21" t="s">
        <v>158</v>
      </c>
      <c r="E87" s="352" t="s">
        <v>159</v>
      </c>
      <c r="F87" s="353"/>
      <c r="G87" s="354"/>
      <c r="P87" s="266" t="s">
        <v>160</v>
      </c>
      <c r="Q87" s="267"/>
      <c r="R87" s="267"/>
      <c r="S87" s="267"/>
      <c r="T87" s="268"/>
      <c r="V87" s="49"/>
    </row>
    <row r="88" spans="2:22" ht="15.75" thickBot="1">
      <c r="B88" s="53"/>
      <c r="D88" s="28" t="str">
        <f>+'Memoría de cálculo Rápida'!A224</f>
        <v>Punto</v>
      </c>
      <c r="E88" s="28" t="str">
        <f>+'Memoría de cálculo Rápida'!B224</f>
        <v>X</v>
      </c>
      <c r="F88" s="28" t="str">
        <f>+'Memoría de cálculo Rápida'!C224</f>
        <v>Y</v>
      </c>
      <c r="G88" s="28" t="str">
        <f>+'Memoría de cálculo Rápida'!D224</f>
        <v>Z</v>
      </c>
      <c r="H88" s="302" t="s">
        <v>161</v>
      </c>
      <c r="I88" s="302"/>
      <c r="K88" s="316" t="s">
        <v>162</v>
      </c>
      <c r="L88" s="316"/>
      <c r="M88" s="316"/>
      <c r="P88" s="150" t="s">
        <v>163</v>
      </c>
      <c r="Q88" s="151" t="s">
        <v>164</v>
      </c>
      <c r="R88" s="344" t="s">
        <v>165</v>
      </c>
      <c r="S88" s="345"/>
      <c r="T88" s="152" t="s">
        <v>166</v>
      </c>
      <c r="V88" s="49"/>
    </row>
    <row r="89" spans="2:22">
      <c r="B89" s="53"/>
      <c r="D89" s="29">
        <v>1</v>
      </c>
      <c r="E89" s="29">
        <f>+'Memoría de cálculo Rápida'!B225</f>
        <v>-2</v>
      </c>
      <c r="F89" s="29">
        <f>+'Memoría de cálculo Rápida'!C225</f>
        <v>0</v>
      </c>
      <c r="G89" s="29">
        <f>+'Memoría de cálculo Rápida'!D225</f>
        <v>1091.5174999999999</v>
      </c>
      <c r="H89" s="343">
        <f>+F21</f>
        <v>1.7999999999999999E-2</v>
      </c>
      <c r="I89" s="323"/>
      <c r="K89" s="346" t="s">
        <v>167</v>
      </c>
      <c r="L89" s="332">
        <f>+'Memoría de cálculo Rápida'!E277</f>
        <v>1030.8371114213271</v>
      </c>
      <c r="M89" s="333" t="s">
        <v>168</v>
      </c>
      <c r="P89" s="153">
        <f t="shared" ref="P89:P136" si="0">+E89</f>
        <v>-2</v>
      </c>
      <c r="Q89" s="154">
        <f t="shared" ref="Q89:Q136" si="1">+G89</f>
        <v>1091.5174999999999</v>
      </c>
      <c r="R89" s="322">
        <v>20</v>
      </c>
      <c r="S89" s="322"/>
      <c r="T89" s="330">
        <f>+H89</f>
        <v>1.7999999999999999E-2</v>
      </c>
      <c r="U89" s="325" t="s">
        <v>169</v>
      </c>
      <c r="V89" s="49"/>
    </row>
    <row r="90" spans="2:22">
      <c r="B90" s="53"/>
      <c r="D90" s="29">
        <v>2</v>
      </c>
      <c r="E90" s="29">
        <f>+'Memoría de cálculo Rápida'!B226</f>
        <v>-0.5</v>
      </c>
      <c r="F90" s="29">
        <f>+'Memoría de cálculo Rápida'!C226</f>
        <v>0</v>
      </c>
      <c r="G90" s="29">
        <f>+'Memoría de cálculo Rápida'!D226</f>
        <v>1090.0174999999999</v>
      </c>
      <c r="H90" s="323"/>
      <c r="I90" s="323"/>
      <c r="K90" s="346"/>
      <c r="L90" s="332"/>
      <c r="M90" s="333"/>
      <c r="P90" s="155">
        <f t="shared" si="0"/>
        <v>-0.5</v>
      </c>
      <c r="Q90" s="38">
        <f t="shared" si="1"/>
        <v>1090.0174999999999</v>
      </c>
      <c r="R90" s="323"/>
      <c r="S90" s="323"/>
      <c r="T90" s="326"/>
      <c r="U90" s="326"/>
      <c r="V90" s="49"/>
    </row>
    <row r="91" spans="2:22">
      <c r="B91" s="53"/>
      <c r="D91" s="29">
        <v>3</v>
      </c>
      <c r="E91" s="29">
        <f>+'Memoría de cálculo Rápida'!B227</f>
        <v>0.5</v>
      </c>
      <c r="F91" s="29">
        <f>+'Memoría de cálculo Rápida'!C227</f>
        <v>0</v>
      </c>
      <c r="G91" s="29">
        <f>+'Memoría de cálculo Rápida'!D227</f>
        <v>1090.0174999999999</v>
      </c>
      <c r="H91" s="323"/>
      <c r="I91" s="323"/>
      <c r="K91" s="346"/>
      <c r="L91" s="332"/>
      <c r="M91" s="333"/>
      <c r="P91" s="155">
        <f t="shared" si="0"/>
        <v>0.5</v>
      </c>
      <c r="Q91" s="38">
        <f t="shared" si="1"/>
        <v>1090.0174999999999</v>
      </c>
      <c r="R91" s="323"/>
      <c r="S91" s="323"/>
      <c r="T91" s="326"/>
      <c r="U91" s="326"/>
      <c r="V91" s="49"/>
    </row>
    <row r="92" spans="2:22" ht="15" thickBot="1">
      <c r="B92" s="53"/>
      <c r="D92" s="29">
        <v>4</v>
      </c>
      <c r="E92" s="29">
        <f>+'Memoría de cálculo Rápida'!B228</f>
        <v>2</v>
      </c>
      <c r="F92" s="29">
        <f>+'Memoría de cálculo Rápida'!C228</f>
        <v>0</v>
      </c>
      <c r="G92" s="29">
        <f>+'Memoría de cálculo Rápida'!D228</f>
        <v>1091.5174999999999</v>
      </c>
      <c r="H92" s="323"/>
      <c r="I92" s="323"/>
      <c r="K92" s="28" t="s">
        <v>45</v>
      </c>
      <c r="L92" s="156">
        <f>+F16</f>
        <v>2</v>
      </c>
      <c r="M92" s="52" t="s">
        <v>46</v>
      </c>
      <c r="P92" s="157">
        <f t="shared" si="0"/>
        <v>2</v>
      </c>
      <c r="Q92" s="158">
        <f t="shared" si="1"/>
        <v>1091.5174999999999</v>
      </c>
      <c r="R92" s="328"/>
      <c r="S92" s="328"/>
      <c r="T92" s="329"/>
      <c r="U92" s="329"/>
      <c r="V92" s="49"/>
    </row>
    <row r="93" spans="2:22">
      <c r="B93" s="53"/>
      <c r="D93" s="29">
        <v>5</v>
      </c>
      <c r="E93" s="29">
        <f>+'Memoría de cálculo Rápida'!B229</f>
        <v>2</v>
      </c>
      <c r="F93" s="29">
        <f>+'Memoría de cálculo Rápida'!C229</f>
        <v>35</v>
      </c>
      <c r="G93" s="29">
        <f>+'Memoría de cálculo Rápida'!D229</f>
        <v>1091.5</v>
      </c>
      <c r="H93" s="323"/>
      <c r="I93" s="323"/>
      <c r="K93" s="331" t="s">
        <v>170</v>
      </c>
      <c r="L93" s="332">
        <f>+'Memoría de cálculo Rápida'!E279</f>
        <v>1079.8151699999989</v>
      </c>
      <c r="M93" s="333" t="s">
        <v>171</v>
      </c>
      <c r="P93" s="153">
        <f t="shared" si="0"/>
        <v>2</v>
      </c>
      <c r="Q93" s="154">
        <f t="shared" si="1"/>
        <v>1091.5</v>
      </c>
      <c r="R93" s="321">
        <f>+F97-F96</f>
        <v>4.5</v>
      </c>
      <c r="S93" s="322"/>
      <c r="T93" s="330">
        <f>+H89</f>
        <v>1.7999999999999999E-2</v>
      </c>
      <c r="U93" s="325" t="s">
        <v>172</v>
      </c>
      <c r="V93" s="49"/>
    </row>
    <row r="94" spans="2:22">
      <c r="B94" s="53"/>
      <c r="D94" s="29">
        <v>6</v>
      </c>
      <c r="E94" s="29">
        <f>+'Memoría de cálculo Rápida'!B230</f>
        <v>0.5</v>
      </c>
      <c r="F94" s="29">
        <f>+'Memoría de cálculo Rápida'!C230</f>
        <v>35</v>
      </c>
      <c r="G94" s="29">
        <f>+'Memoría de cálculo Rápida'!D230</f>
        <v>1090</v>
      </c>
      <c r="H94" s="323"/>
      <c r="I94" s="323"/>
      <c r="K94" s="331"/>
      <c r="L94" s="332"/>
      <c r="M94" s="333"/>
      <c r="P94" s="155">
        <f t="shared" si="0"/>
        <v>0.5</v>
      </c>
      <c r="Q94" s="38">
        <f t="shared" si="1"/>
        <v>1090</v>
      </c>
      <c r="R94" s="323"/>
      <c r="S94" s="323"/>
      <c r="T94" s="326"/>
      <c r="U94" s="326"/>
      <c r="V94" s="49"/>
    </row>
    <row r="95" spans="2:22">
      <c r="B95" s="53"/>
      <c r="D95" s="29">
        <v>7</v>
      </c>
      <c r="E95" s="29">
        <f>+'Memoría de cálculo Rápida'!B231</f>
        <v>-0.5</v>
      </c>
      <c r="F95" s="29">
        <f>+'Memoría de cálculo Rápida'!C231</f>
        <v>35</v>
      </c>
      <c r="G95" s="29">
        <f>+'Memoría de cálculo Rápida'!D231</f>
        <v>1090</v>
      </c>
      <c r="H95" s="323"/>
      <c r="I95" s="323"/>
      <c r="K95" s="331"/>
      <c r="L95" s="332"/>
      <c r="M95" s="333"/>
      <c r="P95" s="155">
        <f t="shared" si="0"/>
        <v>-0.5</v>
      </c>
      <c r="Q95" s="38">
        <f t="shared" si="1"/>
        <v>1090</v>
      </c>
      <c r="R95" s="323"/>
      <c r="S95" s="323"/>
      <c r="T95" s="326"/>
      <c r="U95" s="326"/>
      <c r="V95" s="49"/>
    </row>
    <row r="96" spans="2:22" ht="15" thickBot="1">
      <c r="B96" s="53"/>
      <c r="D96" s="29">
        <v>8</v>
      </c>
      <c r="E96" s="29">
        <f>+'Memoría de cálculo Rápida'!B232</f>
        <v>-2</v>
      </c>
      <c r="F96" s="29">
        <f>+'Memoría de cálculo Rápida'!C232</f>
        <v>35</v>
      </c>
      <c r="G96" s="29">
        <f>+'Memoría de cálculo Rápida'!D232</f>
        <v>1091.5</v>
      </c>
      <c r="H96" s="323"/>
      <c r="I96" s="323"/>
      <c r="P96" s="157">
        <f t="shared" si="0"/>
        <v>-2</v>
      </c>
      <c r="Q96" s="158">
        <f t="shared" si="1"/>
        <v>1091.5</v>
      </c>
      <c r="R96" s="328"/>
      <c r="S96" s="328"/>
      <c r="T96" s="329"/>
      <c r="U96" s="329"/>
      <c r="V96" s="49"/>
    </row>
    <row r="97" spans="2:22">
      <c r="B97" s="53"/>
      <c r="D97" s="29">
        <v>9</v>
      </c>
      <c r="E97" s="29">
        <f>+'Memoría de cálculo Rápida'!B233</f>
        <v>-0.6</v>
      </c>
      <c r="F97" s="29">
        <f>+'Memoría de cálculo Rápida'!C233</f>
        <v>39.5</v>
      </c>
      <c r="G97" s="29">
        <f>+'Memoría de cálculo Rápida'!D233</f>
        <v>1091.0705291535774</v>
      </c>
      <c r="H97" s="323">
        <f>+'Memoría de cálculo Rápida'!C84</f>
        <v>1.6E-2</v>
      </c>
      <c r="I97" s="323"/>
      <c r="P97" s="153">
        <f t="shared" si="0"/>
        <v>-0.6</v>
      </c>
      <c r="Q97" s="154">
        <f t="shared" si="1"/>
        <v>1091.0705291535774</v>
      </c>
      <c r="R97" s="321">
        <f>+F101-F100</f>
        <v>55</v>
      </c>
      <c r="S97" s="322"/>
      <c r="T97" s="325">
        <f>+H97</f>
        <v>1.6E-2</v>
      </c>
      <c r="U97" s="325" t="s">
        <v>173</v>
      </c>
      <c r="V97" s="49"/>
    </row>
    <row r="98" spans="2:22">
      <c r="B98" s="53"/>
      <c r="D98" s="29">
        <v>10</v>
      </c>
      <c r="E98" s="29">
        <f>+'Memoría de cálculo Rápida'!B234</f>
        <v>-0.5</v>
      </c>
      <c r="F98" s="29">
        <f>+'Memoría de cálculo Rápida'!C234</f>
        <v>39.5</v>
      </c>
      <c r="G98" s="29">
        <f>+'Memoría de cálculo Rápida'!D234</f>
        <v>1090.0705291535774</v>
      </c>
      <c r="H98" s="323"/>
      <c r="I98" s="323"/>
      <c r="P98" s="155">
        <f t="shared" si="0"/>
        <v>-0.5</v>
      </c>
      <c r="Q98" s="38">
        <f t="shared" si="1"/>
        <v>1090.0705291535774</v>
      </c>
      <c r="R98" s="323"/>
      <c r="S98" s="323"/>
      <c r="T98" s="326"/>
      <c r="U98" s="326"/>
      <c r="V98" s="49"/>
    </row>
    <row r="99" spans="2:22">
      <c r="B99" s="53"/>
      <c r="D99" s="29">
        <v>11</v>
      </c>
      <c r="E99" s="29">
        <f>+'Memoría de cálculo Rápida'!B235</f>
        <v>0.5</v>
      </c>
      <c r="F99" s="29">
        <f>+'Memoría de cálculo Rápida'!C235</f>
        <v>39.5</v>
      </c>
      <c r="G99" s="29">
        <f>+'Memoría de cálculo Rápida'!D235</f>
        <v>1090.0705291535774</v>
      </c>
      <c r="H99" s="323"/>
      <c r="I99" s="323"/>
      <c r="P99" s="155">
        <f t="shared" si="0"/>
        <v>0.5</v>
      </c>
      <c r="Q99" s="38">
        <f t="shared" si="1"/>
        <v>1090.0705291535774</v>
      </c>
      <c r="R99" s="323"/>
      <c r="S99" s="323"/>
      <c r="T99" s="326"/>
      <c r="U99" s="326"/>
      <c r="V99" s="49"/>
    </row>
    <row r="100" spans="2:22" ht="15" thickBot="1">
      <c r="B100" s="53"/>
      <c r="D100" s="29">
        <v>12</v>
      </c>
      <c r="E100" s="29">
        <f>+'Memoría de cálculo Rápida'!B236</f>
        <v>0.6</v>
      </c>
      <c r="F100" s="29">
        <f>+'Memoría de cálculo Rápida'!C236</f>
        <v>39.5</v>
      </c>
      <c r="G100" s="29">
        <f>+'Memoría de cálculo Rápida'!D236</f>
        <v>1091.0705291535774</v>
      </c>
      <c r="H100" s="323"/>
      <c r="I100" s="323"/>
      <c r="P100" s="157">
        <f t="shared" si="0"/>
        <v>0.6</v>
      </c>
      <c r="Q100" s="158">
        <f t="shared" si="1"/>
        <v>1091.0705291535774</v>
      </c>
      <c r="R100" s="328"/>
      <c r="S100" s="328"/>
      <c r="T100" s="329"/>
      <c r="U100" s="329"/>
      <c r="V100" s="49"/>
    </row>
    <row r="101" spans="2:22" ht="15" thickBot="1">
      <c r="B101" s="53"/>
      <c r="D101" s="29">
        <v>13</v>
      </c>
      <c r="E101" s="29">
        <f>+'Memoría de cálculo Rápida'!B237</f>
        <v>0.6</v>
      </c>
      <c r="F101" s="29">
        <f>+'Memoría de cálculo Rápida'!C237</f>
        <v>94.5</v>
      </c>
      <c r="G101" s="29">
        <f>+'Memoría de cálculo Rápida'!D237</f>
        <v>1082.43</v>
      </c>
      <c r="H101" s="323"/>
      <c r="I101" s="323"/>
      <c r="P101" s="153">
        <f t="shared" si="0"/>
        <v>0.6</v>
      </c>
      <c r="Q101" s="154">
        <f t="shared" si="1"/>
        <v>1082.43</v>
      </c>
      <c r="R101" s="321">
        <f>+F105-F104</f>
        <v>0.79930000000010182</v>
      </c>
      <c r="S101" s="322"/>
      <c r="T101" s="325">
        <f>+H97</f>
        <v>1.6E-2</v>
      </c>
      <c r="U101" s="325" t="s">
        <v>174</v>
      </c>
      <c r="V101" s="49"/>
    </row>
    <row r="102" spans="2:22" ht="15" thickTop="1">
      <c r="B102" s="53"/>
      <c r="D102" s="29">
        <v>14</v>
      </c>
      <c r="E102" s="29">
        <f>+'Memoría de cálculo Rápida'!B238</f>
        <v>0.5</v>
      </c>
      <c r="F102" s="29">
        <f>+'Memoría de cálculo Rápida'!C238</f>
        <v>94.5</v>
      </c>
      <c r="G102" s="29">
        <f>+'Memoría de cálculo Rápida'!D238</f>
        <v>1081.43</v>
      </c>
      <c r="H102" s="323"/>
      <c r="I102" s="323"/>
      <c r="K102" s="334" t="s">
        <v>175</v>
      </c>
      <c r="L102" s="335"/>
      <c r="M102" s="336"/>
      <c r="P102" s="155">
        <f t="shared" si="0"/>
        <v>0.5</v>
      </c>
      <c r="Q102" s="38">
        <f t="shared" si="1"/>
        <v>1081.43</v>
      </c>
      <c r="R102" s="323"/>
      <c r="S102" s="323"/>
      <c r="T102" s="326"/>
      <c r="U102" s="326"/>
      <c r="V102" s="49"/>
    </row>
    <row r="103" spans="2:22">
      <c r="B103" s="53"/>
      <c r="D103" s="29">
        <v>15</v>
      </c>
      <c r="E103" s="29">
        <f>+'Memoría de cálculo Rápida'!B239</f>
        <v>-0.5</v>
      </c>
      <c r="F103" s="29">
        <f>+'Memoría de cálculo Rápida'!C239</f>
        <v>94.5</v>
      </c>
      <c r="G103" s="29">
        <f>+'Memoría de cálculo Rápida'!D239</f>
        <v>1081.43</v>
      </c>
      <c r="H103" s="323"/>
      <c r="I103" s="323"/>
      <c r="K103" s="337"/>
      <c r="L103" s="338"/>
      <c r="M103" s="339"/>
      <c r="P103" s="155">
        <f t="shared" si="0"/>
        <v>-0.5</v>
      </c>
      <c r="Q103" s="38">
        <f t="shared" si="1"/>
        <v>1081.43</v>
      </c>
      <c r="R103" s="323"/>
      <c r="S103" s="323"/>
      <c r="T103" s="326"/>
      <c r="U103" s="326"/>
      <c r="V103" s="49"/>
    </row>
    <row r="104" spans="2:22" ht="15" thickBot="1">
      <c r="B104" s="53"/>
      <c r="D104" s="29">
        <v>16</v>
      </c>
      <c r="E104" s="29">
        <f>+'Memoría de cálculo Rápida'!B240</f>
        <v>-0.6</v>
      </c>
      <c r="F104" s="29">
        <f>+'Memoría de cálculo Rápida'!C240</f>
        <v>94.5</v>
      </c>
      <c r="G104" s="29">
        <f>+'Memoría de cálculo Rápida'!D240</f>
        <v>1082.43</v>
      </c>
      <c r="H104" s="323"/>
      <c r="I104" s="323"/>
      <c r="K104" s="340"/>
      <c r="L104" s="341"/>
      <c r="M104" s="342"/>
      <c r="P104" s="159">
        <f t="shared" si="0"/>
        <v>-0.6</v>
      </c>
      <c r="Q104" s="160">
        <f t="shared" si="1"/>
        <v>1082.43</v>
      </c>
      <c r="R104" s="324"/>
      <c r="S104" s="324"/>
      <c r="T104" s="327"/>
      <c r="U104" s="327"/>
      <c r="V104" s="49"/>
    </row>
    <row r="105" spans="2:22" ht="15" thickTop="1">
      <c r="B105" s="53"/>
      <c r="D105" s="29">
        <v>17</v>
      </c>
      <c r="E105" s="29">
        <f>+'Memoría de cálculo Rápida'!B241</f>
        <v>-0.6</v>
      </c>
      <c r="F105" s="29">
        <f>+'Memoría de cálculo Rápida'!C241</f>
        <v>95.299300000000102</v>
      </c>
      <c r="G105" s="29">
        <f>+'Memoría de cálculo Rápida'!D241</f>
        <v>1082.2792011968477</v>
      </c>
      <c r="H105" s="323"/>
      <c r="I105" s="323"/>
      <c r="P105" s="153">
        <f t="shared" si="0"/>
        <v>-0.6</v>
      </c>
      <c r="Q105" s="154">
        <f t="shared" si="1"/>
        <v>1082.2792011968477</v>
      </c>
      <c r="R105" s="321">
        <f>+F109-F108</f>
        <v>3.1972000000004073</v>
      </c>
      <c r="S105" s="322"/>
      <c r="T105" s="325">
        <f>+H97</f>
        <v>1.6E-2</v>
      </c>
      <c r="U105" s="325" t="s">
        <v>176</v>
      </c>
      <c r="V105" s="49"/>
    </row>
    <row r="106" spans="2:22">
      <c r="B106" s="53"/>
      <c r="D106" s="29">
        <v>18</v>
      </c>
      <c r="E106" s="29">
        <f>+'Memoría de cálculo Rápida'!B242</f>
        <v>-0.5</v>
      </c>
      <c r="F106" s="29">
        <f>+'Memoría de cálculo Rápida'!C242</f>
        <v>95.299300000000102</v>
      </c>
      <c r="G106" s="29">
        <f>+'Memoría de cálculo Rápida'!D242</f>
        <v>1081.2792011968477</v>
      </c>
      <c r="H106" s="323"/>
      <c r="I106" s="323"/>
      <c r="P106" s="155">
        <f t="shared" si="0"/>
        <v>-0.5</v>
      </c>
      <c r="Q106" s="38">
        <f t="shared" si="1"/>
        <v>1081.2792011968477</v>
      </c>
      <c r="R106" s="323"/>
      <c r="S106" s="323"/>
      <c r="T106" s="326"/>
      <c r="U106" s="326"/>
      <c r="V106" s="49"/>
    </row>
    <row r="107" spans="2:22">
      <c r="B107" s="53"/>
      <c r="D107" s="29">
        <v>19</v>
      </c>
      <c r="E107" s="29">
        <f>+'Memoría de cálculo Rápida'!B243</f>
        <v>0.5</v>
      </c>
      <c r="F107" s="29">
        <f>+'Memoría de cálculo Rápida'!C243</f>
        <v>95.299300000000102</v>
      </c>
      <c r="G107" s="29">
        <f>+'Memoría de cálculo Rápida'!D243</f>
        <v>1081.2792011968477</v>
      </c>
      <c r="H107" s="323"/>
      <c r="I107" s="323"/>
      <c r="P107" s="155">
        <f t="shared" si="0"/>
        <v>0.5</v>
      </c>
      <c r="Q107" s="38">
        <f t="shared" si="1"/>
        <v>1081.2792011968477</v>
      </c>
      <c r="R107" s="323"/>
      <c r="S107" s="323"/>
      <c r="T107" s="326"/>
      <c r="U107" s="326"/>
      <c r="V107" s="49"/>
    </row>
    <row r="108" spans="2:22" ht="15" thickBot="1">
      <c r="B108" s="53"/>
      <c r="D108" s="29">
        <v>20</v>
      </c>
      <c r="E108" s="29">
        <f>+'Memoría de cálculo Rápida'!B244</f>
        <v>0.6</v>
      </c>
      <c r="F108" s="29">
        <f>+'Memoría de cálculo Rápida'!C244</f>
        <v>95.299300000000102</v>
      </c>
      <c r="G108" s="29">
        <f>+'Memoría de cálculo Rápida'!D244</f>
        <v>1082.2792011968477</v>
      </c>
      <c r="H108" s="323"/>
      <c r="I108" s="323"/>
      <c r="P108" s="157">
        <f t="shared" si="0"/>
        <v>0.6</v>
      </c>
      <c r="Q108" s="158">
        <f t="shared" si="1"/>
        <v>1082.2792011968477</v>
      </c>
      <c r="R108" s="328"/>
      <c r="S108" s="328"/>
      <c r="T108" s="329"/>
      <c r="U108" s="329"/>
      <c r="V108" s="49"/>
    </row>
    <row r="109" spans="2:22">
      <c r="B109" s="53"/>
      <c r="D109" s="29">
        <v>21</v>
      </c>
      <c r="E109" s="29">
        <f>+'Memoría de cálculo Rápida'!B245</f>
        <v>0.6</v>
      </c>
      <c r="F109" s="29">
        <f>+'Memoría de cálculo Rápida'!C245</f>
        <v>98.496500000000509</v>
      </c>
      <c r="G109" s="29">
        <f>+'Memoría de cálculo Rápida'!D245</f>
        <v>1081.1714389948099</v>
      </c>
      <c r="H109" s="323"/>
      <c r="I109" s="323"/>
      <c r="P109" s="161">
        <f t="shared" si="0"/>
        <v>0.6</v>
      </c>
      <c r="Q109" s="162">
        <f t="shared" si="1"/>
        <v>1081.1714389948099</v>
      </c>
      <c r="R109" s="348">
        <f>+F113-F112</f>
        <v>2.3979000000002912</v>
      </c>
      <c r="S109" s="349"/>
      <c r="T109" s="350">
        <f>+H97</f>
        <v>1.6E-2</v>
      </c>
      <c r="U109" s="350" t="s">
        <v>177</v>
      </c>
      <c r="V109" s="49"/>
    </row>
    <row r="110" spans="2:22">
      <c r="B110" s="53"/>
      <c r="D110" s="29">
        <v>22</v>
      </c>
      <c r="E110" s="29">
        <f>+'Memoría de cálculo Rápida'!B246</f>
        <v>0.5</v>
      </c>
      <c r="F110" s="29">
        <f>+'Memoría de cálculo Rápida'!C246</f>
        <v>98.496500000000509</v>
      </c>
      <c r="G110" s="29">
        <f>+'Memoría de cálculo Rápida'!D246</f>
        <v>1080.1714389948099</v>
      </c>
      <c r="H110" s="323"/>
      <c r="I110" s="323"/>
      <c r="P110" s="155">
        <f t="shared" si="0"/>
        <v>0.5</v>
      </c>
      <c r="Q110" s="38">
        <f t="shared" si="1"/>
        <v>1080.1714389948099</v>
      </c>
      <c r="R110" s="323"/>
      <c r="S110" s="323"/>
      <c r="T110" s="326"/>
      <c r="U110" s="326"/>
      <c r="V110" s="49"/>
    </row>
    <row r="111" spans="2:22">
      <c r="B111" s="53"/>
      <c r="D111" s="29">
        <v>23</v>
      </c>
      <c r="E111" s="29">
        <f>+'Memoría de cálculo Rápida'!B247</f>
        <v>-0.5</v>
      </c>
      <c r="F111" s="29">
        <f>+'Memoría de cálculo Rápida'!C247</f>
        <v>98.496500000000509</v>
      </c>
      <c r="G111" s="29">
        <f>+'Memoría de cálculo Rápida'!D247</f>
        <v>1080.1714389948099</v>
      </c>
      <c r="H111" s="323"/>
      <c r="I111" s="323"/>
      <c r="P111" s="155">
        <f t="shared" si="0"/>
        <v>-0.5</v>
      </c>
      <c r="Q111" s="38">
        <f t="shared" si="1"/>
        <v>1080.1714389948099</v>
      </c>
      <c r="R111" s="323"/>
      <c r="S111" s="323"/>
      <c r="T111" s="326"/>
      <c r="U111" s="326"/>
      <c r="V111" s="49"/>
    </row>
    <row r="112" spans="2:22" ht="15" thickBot="1">
      <c r="B112" s="53"/>
      <c r="D112" s="29">
        <v>24</v>
      </c>
      <c r="E112" s="29">
        <f>+'Memoría de cálculo Rápida'!B248</f>
        <v>-0.6</v>
      </c>
      <c r="F112" s="29">
        <f>+'Memoría de cálculo Rápida'!C248</f>
        <v>98.496500000000509</v>
      </c>
      <c r="G112" s="29">
        <f>+'Memoría de cálculo Rápida'!D248</f>
        <v>1081.1714389948099</v>
      </c>
      <c r="H112" s="323"/>
      <c r="I112" s="323"/>
      <c r="P112" s="159">
        <f t="shared" si="0"/>
        <v>-0.6</v>
      </c>
      <c r="Q112" s="160">
        <f t="shared" si="1"/>
        <v>1081.1714389948099</v>
      </c>
      <c r="R112" s="324"/>
      <c r="S112" s="324"/>
      <c r="T112" s="327"/>
      <c r="U112" s="327"/>
      <c r="V112" s="49"/>
    </row>
    <row r="113" spans="2:22">
      <c r="B113" s="53"/>
      <c r="D113" s="29">
        <v>25</v>
      </c>
      <c r="E113" s="29">
        <f>+'Memoría de cálculo Rápida'!B249</f>
        <v>-0.6</v>
      </c>
      <c r="F113" s="29">
        <f>+'Memoría de cálculo Rápida'!C249</f>
        <v>100.8944000000008</v>
      </c>
      <c r="G113" s="29">
        <f>+'Memoría de cálculo Rápida'!D249</f>
        <v>1080.21</v>
      </c>
      <c r="H113" s="323"/>
      <c r="I113" s="323"/>
      <c r="P113" s="153">
        <f t="shared" si="0"/>
        <v>-0.6</v>
      </c>
      <c r="Q113" s="154">
        <f t="shared" si="1"/>
        <v>1080.21</v>
      </c>
      <c r="R113" s="321">
        <f>+F117-F116</f>
        <v>1.5986000000002036</v>
      </c>
      <c r="S113" s="322"/>
      <c r="T113" s="325">
        <f>+H97</f>
        <v>1.6E-2</v>
      </c>
      <c r="U113" s="325" t="s">
        <v>178</v>
      </c>
      <c r="V113" s="49"/>
    </row>
    <row r="114" spans="2:22">
      <c r="B114" s="53"/>
      <c r="D114" s="29">
        <v>26</v>
      </c>
      <c r="E114" s="29">
        <f>+'Memoría de cálculo Rápida'!B250</f>
        <v>-0.5</v>
      </c>
      <c r="F114" s="29">
        <f>+'Memoría de cálculo Rápida'!C250</f>
        <v>100.8944000000008</v>
      </c>
      <c r="G114" s="29">
        <f>+'Memoría de cálculo Rápida'!D250</f>
        <v>1078.8108220043819</v>
      </c>
      <c r="H114" s="323"/>
      <c r="I114" s="323"/>
      <c r="P114" s="155">
        <f t="shared" si="0"/>
        <v>-0.5</v>
      </c>
      <c r="Q114" s="38">
        <f t="shared" si="1"/>
        <v>1078.8108220043819</v>
      </c>
      <c r="R114" s="323"/>
      <c r="S114" s="323"/>
      <c r="T114" s="326"/>
      <c r="U114" s="326"/>
      <c r="V114" s="49"/>
    </row>
    <row r="115" spans="2:22">
      <c r="B115" s="53"/>
      <c r="D115" s="29">
        <v>27</v>
      </c>
      <c r="E115" s="29">
        <f>+'Memoría de cálculo Rápida'!B251</f>
        <v>0.5</v>
      </c>
      <c r="F115" s="29">
        <f>+'Memoría de cálculo Rápida'!C251</f>
        <v>100.8944000000008</v>
      </c>
      <c r="G115" s="29">
        <f>+'Memoría de cálculo Rápida'!D251</f>
        <v>1078.8108220043819</v>
      </c>
      <c r="H115" s="323"/>
      <c r="I115" s="323"/>
      <c r="P115" s="155">
        <f t="shared" si="0"/>
        <v>0.5</v>
      </c>
      <c r="Q115" s="38">
        <f t="shared" si="1"/>
        <v>1078.8108220043819</v>
      </c>
      <c r="R115" s="323"/>
      <c r="S115" s="323"/>
      <c r="T115" s="326"/>
      <c r="U115" s="326"/>
      <c r="V115" s="49"/>
    </row>
    <row r="116" spans="2:22" ht="15" thickBot="1">
      <c r="B116" s="53"/>
      <c r="D116" s="29">
        <v>28</v>
      </c>
      <c r="E116" s="29">
        <f>+'Memoría de cálculo Rápida'!B252</f>
        <v>0.6</v>
      </c>
      <c r="F116" s="29">
        <f>+'Memoría de cálculo Rápida'!C252</f>
        <v>100.8944000000008</v>
      </c>
      <c r="G116" s="29">
        <f>+'Memoría de cálculo Rápida'!D252</f>
        <v>1080.21</v>
      </c>
      <c r="H116" s="323"/>
      <c r="I116" s="323"/>
      <c r="P116" s="157">
        <f t="shared" si="0"/>
        <v>0.6</v>
      </c>
      <c r="Q116" s="158">
        <f t="shared" si="1"/>
        <v>1080.21</v>
      </c>
      <c r="R116" s="328"/>
      <c r="S116" s="328"/>
      <c r="T116" s="329"/>
      <c r="U116" s="329"/>
      <c r="V116" s="49"/>
    </row>
    <row r="117" spans="2:22">
      <c r="B117" s="53"/>
      <c r="D117" s="29">
        <v>29</v>
      </c>
      <c r="E117" s="29">
        <f>+'Memoría de cálculo Rápida'!B253</f>
        <v>0.6</v>
      </c>
      <c r="F117" s="29">
        <f>+'Memoría de cálculo Rápida'!C253</f>
        <v>102.493000000001</v>
      </c>
      <c r="G117" s="29">
        <f>+'Memoría de cálculo Rápida'!D253</f>
        <v>1080.21</v>
      </c>
      <c r="H117" s="323"/>
      <c r="I117" s="323"/>
      <c r="P117" s="161">
        <f t="shared" si="0"/>
        <v>0.6</v>
      </c>
      <c r="Q117" s="162">
        <f t="shared" si="1"/>
        <v>1080.21</v>
      </c>
      <c r="R117" s="348">
        <f>+F121-F120</f>
        <v>11</v>
      </c>
      <c r="S117" s="349"/>
      <c r="T117" s="350">
        <f>+H97</f>
        <v>1.6E-2</v>
      </c>
      <c r="U117" s="350" t="s">
        <v>179</v>
      </c>
      <c r="V117" s="49"/>
    </row>
    <row r="118" spans="2:22">
      <c r="B118" s="53"/>
      <c r="D118" s="29">
        <v>30</v>
      </c>
      <c r="E118" s="29">
        <f>+'Memoría de cálculo Rápida'!B254</f>
        <v>0.5</v>
      </c>
      <c r="F118" s="29">
        <f>+'Memoría de cálculo Rápida'!C254</f>
        <v>102.493000000001</v>
      </c>
      <c r="G118" s="29">
        <f>+'Memoría de cálculo Rápida'!D254</f>
        <v>1077.7734471274489</v>
      </c>
      <c r="H118" s="323"/>
      <c r="I118" s="323"/>
      <c r="P118" s="155">
        <f t="shared" si="0"/>
        <v>0.5</v>
      </c>
      <c r="Q118" s="38">
        <f t="shared" si="1"/>
        <v>1077.7734471274489</v>
      </c>
      <c r="R118" s="323"/>
      <c r="S118" s="323"/>
      <c r="T118" s="326"/>
      <c r="U118" s="326"/>
      <c r="V118" s="49"/>
    </row>
    <row r="119" spans="2:22">
      <c r="B119" s="53"/>
      <c r="D119" s="29">
        <v>31</v>
      </c>
      <c r="E119" s="29">
        <f>+'Memoría de cálculo Rápida'!B255</f>
        <v>-0.5</v>
      </c>
      <c r="F119" s="29">
        <f>+'Memoría de cálculo Rápida'!C255</f>
        <v>102.493000000001</v>
      </c>
      <c r="G119" s="29">
        <f>+'Memoría de cálculo Rápida'!D255</f>
        <v>1077.7734471274489</v>
      </c>
      <c r="H119" s="323"/>
      <c r="I119" s="323"/>
      <c r="P119" s="155">
        <f t="shared" si="0"/>
        <v>-0.5</v>
      </c>
      <c r="Q119" s="38">
        <f t="shared" si="1"/>
        <v>1077.7734471274489</v>
      </c>
      <c r="R119" s="323"/>
      <c r="S119" s="323"/>
      <c r="T119" s="326"/>
      <c r="U119" s="326"/>
      <c r="V119" s="49"/>
    </row>
    <row r="120" spans="2:22" ht="15" thickBot="1">
      <c r="B120" s="53"/>
      <c r="D120" s="29">
        <v>32</v>
      </c>
      <c r="E120" s="29">
        <f>+'Memoría de cálculo Rápida'!B256</f>
        <v>-0.6</v>
      </c>
      <c r="F120" s="29">
        <f>+'Memoría de cálculo Rápida'!C256</f>
        <v>102.493000000001</v>
      </c>
      <c r="G120" s="29">
        <f>+'Memoría de cálculo Rápida'!D256</f>
        <v>1080.21</v>
      </c>
      <c r="H120" s="323"/>
      <c r="I120" s="323"/>
      <c r="P120" s="159">
        <f t="shared" si="0"/>
        <v>-0.6</v>
      </c>
      <c r="Q120" s="160">
        <f t="shared" si="1"/>
        <v>1080.21</v>
      </c>
      <c r="R120" s="324"/>
      <c r="S120" s="324"/>
      <c r="T120" s="327"/>
      <c r="U120" s="327"/>
      <c r="V120" s="49"/>
    </row>
    <row r="121" spans="2:22">
      <c r="B121" s="53"/>
      <c r="D121" s="29">
        <v>33</v>
      </c>
      <c r="E121" s="29">
        <f>+'Memoría de cálculo Rápida'!B257</f>
        <v>-0.6</v>
      </c>
      <c r="F121" s="29">
        <f>+'Memoría de cálculo Rápida'!C257</f>
        <v>113.493000000001</v>
      </c>
      <c r="G121" s="29">
        <f>+'Memoría de cálculo Rápida'!D257</f>
        <v>1080.21</v>
      </c>
      <c r="H121" s="323"/>
      <c r="I121" s="323"/>
      <c r="P121" s="153">
        <f t="shared" si="0"/>
        <v>-0.6</v>
      </c>
      <c r="Q121" s="154">
        <f t="shared" si="1"/>
        <v>1080.21</v>
      </c>
      <c r="R121" s="321">
        <f>+F125-F124</f>
        <v>1.8731057451022934</v>
      </c>
      <c r="S121" s="322"/>
      <c r="T121" s="325">
        <f>+H97</f>
        <v>1.6E-2</v>
      </c>
      <c r="U121" s="325" t="s">
        <v>180</v>
      </c>
      <c r="V121" s="49"/>
    </row>
    <row r="122" spans="2:22">
      <c r="B122" s="53"/>
      <c r="D122" s="29">
        <v>34</v>
      </c>
      <c r="E122" s="29">
        <f>+'Memoría de cálculo Rápida'!B258</f>
        <v>-0.5</v>
      </c>
      <c r="F122" s="29">
        <f>+'Memoría de cálculo Rápida'!C258</f>
        <v>113.493000000001</v>
      </c>
      <c r="G122" s="29">
        <f>+'Memoría de cálculo Rápida'!D258</f>
        <v>1077.7734471274489</v>
      </c>
      <c r="H122" s="323"/>
      <c r="I122" s="323"/>
      <c r="P122" s="155">
        <f t="shared" si="0"/>
        <v>-0.5</v>
      </c>
      <c r="Q122" s="38">
        <f t="shared" si="1"/>
        <v>1077.7734471274489</v>
      </c>
      <c r="R122" s="323"/>
      <c r="S122" s="323"/>
      <c r="T122" s="326"/>
      <c r="U122" s="326"/>
      <c r="V122" s="49"/>
    </row>
    <row r="123" spans="2:22">
      <c r="B123" s="53"/>
      <c r="D123" s="29">
        <v>35</v>
      </c>
      <c r="E123" s="29">
        <f>+'Memoría de cálculo Rápida'!B259</f>
        <v>0.5</v>
      </c>
      <c r="F123" s="29">
        <f>+'Memoría de cálculo Rápida'!C259</f>
        <v>113.493000000001</v>
      </c>
      <c r="G123" s="29">
        <f>+'Memoría de cálculo Rápida'!D259</f>
        <v>1077.7734471274489</v>
      </c>
      <c r="H123" s="323"/>
      <c r="I123" s="323"/>
      <c r="P123" s="155">
        <f t="shared" si="0"/>
        <v>0.5</v>
      </c>
      <c r="Q123" s="38">
        <f t="shared" si="1"/>
        <v>1077.7734471274489</v>
      </c>
      <c r="R123" s="323"/>
      <c r="S123" s="323"/>
      <c r="T123" s="326"/>
      <c r="U123" s="326"/>
      <c r="V123" s="49"/>
    </row>
    <row r="124" spans="2:22" ht="15" thickBot="1">
      <c r="B124" s="53"/>
      <c r="D124" s="29">
        <v>36</v>
      </c>
      <c r="E124" s="29">
        <f>+'Memoría de cálculo Rápida'!B260</f>
        <v>0.6</v>
      </c>
      <c r="F124" s="29">
        <f>+'Memoría de cálculo Rápida'!C260</f>
        <v>113.493000000001</v>
      </c>
      <c r="G124" s="29">
        <f>+'Memoría de cálculo Rápida'!D260</f>
        <v>1080.21</v>
      </c>
      <c r="H124" s="323"/>
      <c r="I124" s="323"/>
      <c r="P124" s="157">
        <f t="shared" si="0"/>
        <v>0.6</v>
      </c>
      <c r="Q124" s="158">
        <f t="shared" si="1"/>
        <v>1080.21</v>
      </c>
      <c r="R124" s="328"/>
      <c r="S124" s="328"/>
      <c r="T124" s="329"/>
      <c r="U124" s="329"/>
      <c r="V124" s="49"/>
    </row>
    <row r="125" spans="2:22">
      <c r="B125" s="53"/>
      <c r="D125" s="29">
        <v>37</v>
      </c>
      <c r="E125" s="29">
        <f>+'Memoría de cálculo Rápida'!B261</f>
        <v>0.64</v>
      </c>
      <c r="F125" s="29">
        <f>+'Memoría de cálculo Rápida'!C261</f>
        <v>115.3661057451033</v>
      </c>
      <c r="G125" s="29">
        <f>+'Memoría de cálculo Rápida'!D261</f>
        <v>1080.21</v>
      </c>
      <c r="H125" s="323"/>
      <c r="I125" s="323"/>
      <c r="P125" s="161">
        <f t="shared" si="0"/>
        <v>0.64</v>
      </c>
      <c r="Q125" s="162">
        <f t="shared" si="1"/>
        <v>1080.21</v>
      </c>
      <c r="R125" s="348">
        <f>+F129-F128</f>
        <v>4.5999999999999943</v>
      </c>
      <c r="S125" s="349"/>
      <c r="T125" s="350">
        <f>+H97</f>
        <v>1.6E-2</v>
      </c>
      <c r="U125" s="350" t="s">
        <v>181</v>
      </c>
      <c r="V125" s="49"/>
    </row>
    <row r="126" spans="2:22">
      <c r="B126" s="53"/>
      <c r="D126" s="29">
        <v>38</v>
      </c>
      <c r="E126" s="29">
        <f>+'Memoría de cálculo Rápida'!B262</f>
        <v>0.5</v>
      </c>
      <c r="F126" s="29">
        <f>+'Memoría de cálculo Rápida'!C262</f>
        <v>115.3661057451033</v>
      </c>
      <c r="G126" s="29">
        <f>+'Memoría de cálculo Rápida'!D262</f>
        <v>1078.71</v>
      </c>
      <c r="H126" s="323"/>
      <c r="I126" s="323"/>
      <c r="P126" s="155">
        <f t="shared" si="0"/>
        <v>0.5</v>
      </c>
      <c r="Q126" s="38">
        <f t="shared" si="1"/>
        <v>1078.71</v>
      </c>
      <c r="R126" s="323"/>
      <c r="S126" s="323"/>
      <c r="T126" s="326"/>
      <c r="U126" s="326"/>
      <c r="V126" s="49"/>
    </row>
    <row r="127" spans="2:22">
      <c r="B127" s="53"/>
      <c r="D127" s="29">
        <v>39</v>
      </c>
      <c r="E127" s="29">
        <f>+'Memoría de cálculo Rápida'!B263</f>
        <v>-0.5</v>
      </c>
      <c r="F127" s="29">
        <f>+'Memoría de cálculo Rápida'!C263</f>
        <v>115.3661057451033</v>
      </c>
      <c r="G127" s="29">
        <f>+'Memoría de cálculo Rápida'!D263</f>
        <v>1078.71</v>
      </c>
      <c r="H127" s="323"/>
      <c r="I127" s="323"/>
      <c r="P127" s="155">
        <f t="shared" si="0"/>
        <v>-0.5</v>
      </c>
      <c r="Q127" s="38">
        <f t="shared" si="1"/>
        <v>1078.71</v>
      </c>
      <c r="R127" s="323"/>
      <c r="S127" s="323"/>
      <c r="T127" s="326"/>
      <c r="U127" s="326"/>
      <c r="V127" s="49"/>
    </row>
    <row r="128" spans="2:22" ht="15" thickBot="1">
      <c r="B128" s="53"/>
      <c r="D128" s="29">
        <v>40</v>
      </c>
      <c r="E128" s="29">
        <f>+'Memoría de cálculo Rápida'!B264</f>
        <v>-0.64</v>
      </c>
      <c r="F128" s="29">
        <f>+'Memoría de cálculo Rápida'!C264</f>
        <v>115.3661057451033</v>
      </c>
      <c r="G128" s="29">
        <f>+'Memoría de cálculo Rápida'!D264</f>
        <v>1080.21</v>
      </c>
      <c r="H128" s="323"/>
      <c r="I128" s="323"/>
      <c r="P128" s="159">
        <f t="shared" si="0"/>
        <v>-0.64</v>
      </c>
      <c r="Q128" s="160">
        <f t="shared" si="1"/>
        <v>1080.21</v>
      </c>
      <c r="R128" s="324"/>
      <c r="S128" s="324"/>
      <c r="T128" s="327"/>
      <c r="U128" s="327"/>
      <c r="V128" s="49"/>
    </row>
    <row r="129" spans="2:22">
      <c r="B129" s="53"/>
      <c r="D129" s="29">
        <v>41</v>
      </c>
      <c r="E129" s="29">
        <f>+'Memoría de cálculo Rápida'!B265</f>
        <v>-2</v>
      </c>
      <c r="F129" s="29">
        <f>+'Memoría de cálculo Rápida'!C265</f>
        <v>119.96610574510329</v>
      </c>
      <c r="G129" s="29">
        <f>+'Memoría de cálculo Rápida'!D265</f>
        <v>1080.21</v>
      </c>
      <c r="H129" s="323"/>
      <c r="I129" s="323"/>
      <c r="P129" s="153">
        <f t="shared" si="0"/>
        <v>-2</v>
      </c>
      <c r="Q129" s="154">
        <f t="shared" si="1"/>
        <v>1080.21</v>
      </c>
      <c r="R129" s="321">
        <f>+F133-F132</f>
        <v>14.999999999999986</v>
      </c>
      <c r="S129" s="322"/>
      <c r="T129" s="330">
        <f>+H133</f>
        <v>1.7999999999999999E-2</v>
      </c>
      <c r="U129" s="325" t="s">
        <v>182</v>
      </c>
      <c r="V129" s="49"/>
    </row>
    <row r="130" spans="2:22">
      <c r="B130" s="53"/>
      <c r="D130" s="29">
        <v>42</v>
      </c>
      <c r="E130" s="29">
        <f>+'Memoría de cálculo Rápida'!B266</f>
        <v>-0.5</v>
      </c>
      <c r="F130" s="29">
        <f>+'Memoría de cálculo Rápida'!C266</f>
        <v>119.96610574510329</v>
      </c>
      <c r="G130" s="29">
        <f>+'Memoría de cálculo Rápida'!D266</f>
        <v>1078.71</v>
      </c>
      <c r="H130" s="323"/>
      <c r="I130" s="323"/>
      <c r="P130" s="155">
        <f t="shared" si="0"/>
        <v>-0.5</v>
      </c>
      <c r="Q130" s="38">
        <f t="shared" si="1"/>
        <v>1078.71</v>
      </c>
      <c r="R130" s="323"/>
      <c r="S130" s="323"/>
      <c r="T130" s="326"/>
      <c r="U130" s="326"/>
      <c r="V130" s="49"/>
    </row>
    <row r="131" spans="2:22">
      <c r="B131" s="53"/>
      <c r="D131" s="29">
        <v>43</v>
      </c>
      <c r="E131" s="29">
        <f>+'Memoría de cálculo Rápida'!B267</f>
        <v>0.5</v>
      </c>
      <c r="F131" s="29">
        <f>+'Memoría de cálculo Rápida'!C267</f>
        <v>119.96610574510329</v>
      </c>
      <c r="G131" s="29">
        <f>+'Memoría de cálculo Rápida'!D267</f>
        <v>1078.71</v>
      </c>
      <c r="H131" s="323"/>
      <c r="I131" s="323"/>
      <c r="P131" s="155">
        <f t="shared" si="0"/>
        <v>0.5</v>
      </c>
      <c r="Q131" s="38">
        <f t="shared" si="1"/>
        <v>1078.71</v>
      </c>
      <c r="R131" s="323"/>
      <c r="S131" s="323"/>
      <c r="T131" s="326"/>
      <c r="U131" s="326"/>
      <c r="V131" s="49"/>
    </row>
    <row r="132" spans="2:22" ht="15" thickBot="1">
      <c r="B132" s="53"/>
      <c r="D132" s="29">
        <v>44</v>
      </c>
      <c r="E132" s="29">
        <f>+'Memoría de cálculo Rápida'!B268</f>
        <v>2</v>
      </c>
      <c r="F132" s="29">
        <f>+'Memoría de cálculo Rápida'!C268</f>
        <v>119.96610574510329</v>
      </c>
      <c r="G132" s="29">
        <f>+'Memoría de cálculo Rápida'!D268</f>
        <v>1080.21</v>
      </c>
      <c r="H132" s="323"/>
      <c r="I132" s="323"/>
      <c r="P132" s="157">
        <f t="shared" si="0"/>
        <v>2</v>
      </c>
      <c r="Q132" s="158">
        <f t="shared" si="1"/>
        <v>1080.21</v>
      </c>
      <c r="R132" s="328"/>
      <c r="S132" s="328"/>
      <c r="T132" s="329"/>
      <c r="U132" s="329"/>
      <c r="V132" s="49"/>
    </row>
    <row r="133" spans="2:22">
      <c r="B133" s="53"/>
      <c r="D133" s="29">
        <v>45</v>
      </c>
      <c r="E133" s="29">
        <f>+'Memoría de cálculo Rápida'!B269</f>
        <v>2</v>
      </c>
      <c r="F133" s="29">
        <f>+'Memoría de cálculo Rápida'!C269</f>
        <v>134.96610574510328</v>
      </c>
      <c r="G133" s="29">
        <f>+'Memoría de cálculo Rápida'!D269</f>
        <v>1080.2025000000001</v>
      </c>
      <c r="H133" s="343">
        <f>+F27</f>
        <v>1.7999999999999999E-2</v>
      </c>
      <c r="I133" s="323"/>
      <c r="P133" s="161">
        <f t="shared" si="0"/>
        <v>2</v>
      </c>
      <c r="Q133" s="162">
        <f t="shared" si="1"/>
        <v>1080.2025000000001</v>
      </c>
      <c r="R133" s="349">
        <v>0</v>
      </c>
      <c r="S133" s="349"/>
      <c r="T133" s="347">
        <f>+H133</f>
        <v>1.7999999999999999E-2</v>
      </c>
      <c r="U133" s="350" t="s">
        <v>183</v>
      </c>
      <c r="V133" s="49"/>
    </row>
    <row r="134" spans="2:22">
      <c r="B134" s="53"/>
      <c r="D134" s="29">
        <v>46</v>
      </c>
      <c r="E134" s="29">
        <f>+'Memoría de cálculo Rápida'!B270</f>
        <v>0.5</v>
      </c>
      <c r="F134" s="29">
        <f>+'Memoría de cálculo Rápida'!C270</f>
        <v>134.96610574510328</v>
      </c>
      <c r="G134" s="29">
        <f>+'Memoría de cálculo Rápida'!D270</f>
        <v>1078.7025000000001</v>
      </c>
      <c r="H134" s="323"/>
      <c r="I134" s="323"/>
      <c r="P134" s="155">
        <f t="shared" si="0"/>
        <v>0.5</v>
      </c>
      <c r="Q134" s="38">
        <f t="shared" si="1"/>
        <v>1078.7025000000001</v>
      </c>
      <c r="R134" s="323"/>
      <c r="S134" s="323"/>
      <c r="T134" s="326"/>
      <c r="U134" s="326"/>
      <c r="V134" s="49"/>
    </row>
    <row r="135" spans="2:22">
      <c r="B135" s="53"/>
      <c r="D135" s="29">
        <v>47</v>
      </c>
      <c r="E135" s="29">
        <f>+'Memoría de cálculo Rápida'!B271</f>
        <v>-0.5</v>
      </c>
      <c r="F135" s="29">
        <f>+'Memoría de cálculo Rápida'!C271</f>
        <v>134.96610574510328</v>
      </c>
      <c r="G135" s="29">
        <f>+'Memoría de cálculo Rápida'!D271</f>
        <v>1078.7025000000001</v>
      </c>
      <c r="H135" s="323"/>
      <c r="I135" s="323"/>
      <c r="P135" s="155">
        <f t="shared" si="0"/>
        <v>-0.5</v>
      </c>
      <c r="Q135" s="38">
        <f t="shared" si="1"/>
        <v>1078.7025000000001</v>
      </c>
      <c r="R135" s="323"/>
      <c r="S135" s="323"/>
      <c r="T135" s="326"/>
      <c r="U135" s="326"/>
      <c r="V135" s="49"/>
    </row>
    <row r="136" spans="2:22" ht="15" thickBot="1">
      <c r="B136" s="53"/>
      <c r="D136" s="29">
        <v>48</v>
      </c>
      <c r="E136" s="29">
        <f>+'Memoría de cálculo Rápida'!B272</f>
        <v>-2</v>
      </c>
      <c r="F136" s="29">
        <f>+'Memoría de cálculo Rápida'!C272</f>
        <v>134.96610574510328</v>
      </c>
      <c r="G136" s="29">
        <f>+'Memoría de cálculo Rápida'!D272</f>
        <v>1080.2025000000001</v>
      </c>
      <c r="H136" s="323"/>
      <c r="I136" s="323"/>
      <c r="P136" s="157">
        <f t="shared" si="0"/>
        <v>-2</v>
      </c>
      <c r="Q136" s="158">
        <f t="shared" si="1"/>
        <v>1080.2025000000001</v>
      </c>
      <c r="R136" s="328"/>
      <c r="S136" s="328"/>
      <c r="T136" s="329"/>
      <c r="U136" s="329"/>
      <c r="V136" s="49"/>
    </row>
    <row r="137" spans="2:22" ht="15" thickBot="1">
      <c r="B137" s="54"/>
      <c r="C137" s="41"/>
      <c r="D137" s="41"/>
      <c r="E137" s="41"/>
      <c r="F137" s="41"/>
      <c r="G137" s="41"/>
      <c r="H137" s="41"/>
      <c r="I137" s="41"/>
      <c r="J137" s="41"/>
      <c r="K137" s="41"/>
      <c r="L137" s="41"/>
      <c r="M137" s="41"/>
      <c r="N137" s="41"/>
      <c r="O137" s="41"/>
      <c r="P137" s="41"/>
      <c r="Q137" s="41"/>
      <c r="R137" s="41"/>
      <c r="S137" s="41"/>
      <c r="T137" s="41"/>
      <c r="U137" s="41"/>
      <c r="V137" s="55"/>
    </row>
  </sheetData>
  <mergeCells count="100">
    <mergeCell ref="B1:V1"/>
    <mergeCell ref="U129:U132"/>
    <mergeCell ref="U133:U136"/>
    <mergeCell ref="P87:T87"/>
    <mergeCell ref="E87:G87"/>
    <mergeCell ref="U109:U112"/>
    <mergeCell ref="U113:U116"/>
    <mergeCell ref="U117:U120"/>
    <mergeCell ref="U121:U124"/>
    <mergeCell ref="U125:U128"/>
    <mergeCell ref="U89:U92"/>
    <mergeCell ref="U93:U96"/>
    <mergeCell ref="U97:U100"/>
    <mergeCell ref="U101:U104"/>
    <mergeCell ref="U105:U108"/>
    <mergeCell ref="R133:S136"/>
    <mergeCell ref="T133:T136"/>
    <mergeCell ref="H133:I136"/>
    <mergeCell ref="R121:S124"/>
    <mergeCell ref="R109:S112"/>
    <mergeCell ref="R97:S100"/>
    <mergeCell ref="T121:T124"/>
    <mergeCell ref="R125:S128"/>
    <mergeCell ref="T125:T128"/>
    <mergeCell ref="R129:S132"/>
    <mergeCell ref="T129:T132"/>
    <mergeCell ref="T109:T112"/>
    <mergeCell ref="R113:S116"/>
    <mergeCell ref="T113:T116"/>
    <mergeCell ref="R117:S120"/>
    <mergeCell ref="T117:T120"/>
    <mergeCell ref="T97:T100"/>
    <mergeCell ref="R88:S88"/>
    <mergeCell ref="R89:S92"/>
    <mergeCell ref="K89:K91"/>
    <mergeCell ref="L89:L91"/>
    <mergeCell ref="M89:M91"/>
    <mergeCell ref="K93:K95"/>
    <mergeCell ref="L93:L95"/>
    <mergeCell ref="M93:M95"/>
    <mergeCell ref="K102:M104"/>
    <mergeCell ref="H88:I88"/>
    <mergeCell ref="H89:I96"/>
    <mergeCell ref="H97:I132"/>
    <mergeCell ref="R101:S104"/>
    <mergeCell ref="T101:T104"/>
    <mergeCell ref="R105:S108"/>
    <mergeCell ref="T105:T108"/>
    <mergeCell ref="T89:T92"/>
    <mergeCell ref="R93:S96"/>
    <mergeCell ref="T93:T96"/>
    <mergeCell ref="B32:V32"/>
    <mergeCell ref="B85:V85"/>
    <mergeCell ref="K88:M88"/>
    <mergeCell ref="D11:E11"/>
    <mergeCell ref="D12:E12"/>
    <mergeCell ref="D13:E13"/>
    <mergeCell ref="D28:E28"/>
    <mergeCell ref="L35:U35"/>
    <mergeCell ref="L54:U54"/>
    <mergeCell ref="D35:G35"/>
    <mergeCell ref="D36:E36"/>
    <mergeCell ref="D37:E37"/>
    <mergeCell ref="D38:E38"/>
    <mergeCell ref="D39:E39"/>
    <mergeCell ref="D40:E40"/>
    <mergeCell ref="D41:E41"/>
    <mergeCell ref="D4:G4"/>
    <mergeCell ref="D3:G3"/>
    <mergeCell ref="D7:E7"/>
    <mergeCell ref="D5:G5"/>
    <mergeCell ref="D8:E8"/>
    <mergeCell ref="D10:G10"/>
    <mergeCell ref="D6:E6"/>
    <mergeCell ref="D25:E25"/>
    <mergeCell ref="D26:E26"/>
    <mergeCell ref="D27:E27"/>
    <mergeCell ref="D15:G15"/>
    <mergeCell ref="D16:E16"/>
    <mergeCell ref="D19:E19"/>
    <mergeCell ref="D20:E20"/>
    <mergeCell ref="D21:E21"/>
    <mergeCell ref="D22:E22"/>
    <mergeCell ref="D24:G24"/>
    <mergeCell ref="D18:G18"/>
    <mergeCell ref="D42:E42"/>
    <mergeCell ref="D43:E43"/>
    <mergeCell ref="D44:E44"/>
    <mergeCell ref="F47:G47"/>
    <mergeCell ref="I47:J47"/>
    <mergeCell ref="D46:J46"/>
    <mergeCell ref="D56:E56"/>
    <mergeCell ref="D48:E48"/>
    <mergeCell ref="D49:E49"/>
    <mergeCell ref="D50:E50"/>
    <mergeCell ref="D51:E51"/>
    <mergeCell ref="D52:E52"/>
    <mergeCell ref="D53:E53"/>
    <mergeCell ref="D54:E54"/>
    <mergeCell ref="D55:E55"/>
  </mergeCells>
  <hyperlinks>
    <hyperlink ref="K102:M104" r:id="rId1" display="Tutorial para exportar datos a Iber" xr:uid="{2702EA67-B93B-492B-A896-164CBA68ADEB}"/>
  </hyperlinks>
  <pageMargins left="0.7" right="0.7" top="0.75" bottom="0.75" header="0.3" footer="0.3"/>
  <pageSetup paperSize="134" scale="31" orientation="portrait" horizontalDpi="1200" verticalDpi="1200" r:id="rId2"/>
  <ignoredErrors>
    <ignoredError sqref="T97 I54 F54" 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4097" r:id="rId5" name="Button 1">
              <controlPr defaultSize="0" print="0" autoFill="0" autoPict="0" macro="[0]!Rápida_Botón1_Haga_clic_en">
                <anchor moveWithCells="1" sizeWithCells="1">
                  <from>
                    <xdr:col>8</xdr:col>
                    <xdr:colOff>752475</xdr:colOff>
                    <xdr:row>26</xdr:row>
                    <xdr:rowOff>133350</xdr:rowOff>
                  </from>
                  <to>
                    <xdr:col>11</xdr:col>
                    <xdr:colOff>161925</xdr:colOff>
                    <xdr:row>29</xdr:row>
                    <xdr:rowOff>66675</xdr:rowOff>
                  </to>
                </anchor>
              </controlPr>
            </control>
          </mc:Choice>
        </mc:AlternateContent>
        <mc:AlternateContent xmlns:mc="http://schemas.openxmlformats.org/markup-compatibility/2006">
          <mc:Choice Requires="x14">
            <control shapeId="4099" r:id="rId6" name="Button 3">
              <controlPr defaultSize="0" print="0" autoFill="0" autoPict="0" macro="[0]!Botón3_Haga_clic_en">
                <anchor moveWithCells="1" sizeWithCells="1">
                  <from>
                    <xdr:col>11</xdr:col>
                    <xdr:colOff>571500</xdr:colOff>
                    <xdr:row>26</xdr:row>
                    <xdr:rowOff>123825</xdr:rowOff>
                  </from>
                  <to>
                    <xdr:col>13</xdr:col>
                    <xdr:colOff>752475</xdr:colOff>
                    <xdr:row>29</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Y282"/>
  <sheetViews>
    <sheetView zoomScale="80" zoomScaleNormal="80" workbookViewId="0">
      <selection activeCell="L15" sqref="L15"/>
    </sheetView>
  </sheetViews>
  <sheetFormatPr baseColWidth="10" defaultColWidth="11.42578125" defaultRowHeight="14.25"/>
  <cols>
    <col min="1" max="1" width="17.42578125" style="21" customWidth="1"/>
    <col min="2" max="2" width="13.85546875" style="21" customWidth="1"/>
    <col min="3" max="3" width="12.28515625" style="21" customWidth="1"/>
    <col min="4" max="4" width="11.42578125" style="21"/>
    <col min="5" max="5" width="11.85546875" style="21" bestFit="1" customWidth="1"/>
    <col min="6" max="7" width="11.42578125" style="21"/>
    <col min="8" max="9" width="9.140625" style="21" customWidth="1"/>
    <col min="10" max="10" width="18.42578125" style="21" customWidth="1"/>
    <col min="11" max="11" width="9.140625" style="21" customWidth="1"/>
    <col min="12" max="12" width="11.7109375" style="21" customWidth="1"/>
    <col min="13" max="15" width="11.42578125" style="21"/>
    <col min="16" max="16" width="11.85546875" style="21" customWidth="1"/>
    <col min="17" max="20" width="11.42578125" style="21"/>
    <col min="21" max="21" width="10.5703125" style="21" customWidth="1"/>
    <col min="22" max="22" width="12.140625" style="21" customWidth="1"/>
    <col min="23" max="23" width="11.85546875" style="21" bestFit="1" customWidth="1"/>
    <col min="24" max="16384" width="11.42578125" style="21"/>
  </cols>
  <sheetData>
    <row r="1" spans="1:10" ht="35.25">
      <c r="A1" s="103" t="s">
        <v>184</v>
      </c>
      <c r="B1" s="104"/>
      <c r="C1" s="104"/>
      <c r="D1" s="104"/>
      <c r="E1" s="104"/>
      <c r="F1" s="104"/>
      <c r="G1" s="104"/>
      <c r="H1" s="104"/>
      <c r="I1" s="104"/>
      <c r="J1" s="104"/>
    </row>
    <row r="2" spans="1:10" ht="18">
      <c r="A2" s="105" t="s">
        <v>185</v>
      </c>
    </row>
    <row r="3" spans="1:10" ht="60" customHeight="1">
      <c r="A3" s="374" t="s">
        <v>90</v>
      </c>
      <c r="B3" s="278"/>
      <c r="C3" s="45" t="s">
        <v>186</v>
      </c>
      <c r="D3" s="45" t="s">
        <v>187</v>
      </c>
    </row>
    <row r="4" spans="1:10">
      <c r="A4" s="23" t="s">
        <v>45</v>
      </c>
      <c r="B4" s="77" t="s">
        <v>80</v>
      </c>
      <c r="C4" s="29">
        <f>+Rápida!F16</f>
        <v>2</v>
      </c>
      <c r="D4" s="29">
        <f>+C4</f>
        <v>2</v>
      </c>
    </row>
    <row r="5" spans="1:10">
      <c r="A5" s="23" t="s">
        <v>47</v>
      </c>
      <c r="B5" s="77" t="s">
        <v>81</v>
      </c>
      <c r="C5" s="29">
        <f>+Rápida!F19</f>
        <v>1</v>
      </c>
      <c r="D5" s="29">
        <f>+Rápida!F25</f>
        <v>1</v>
      </c>
    </row>
    <row r="6" spans="1:10">
      <c r="A6" s="23" t="s">
        <v>49</v>
      </c>
      <c r="B6" s="77" t="s">
        <v>82</v>
      </c>
      <c r="C6" s="29">
        <f>+Rápida!F20</f>
        <v>1</v>
      </c>
      <c r="D6" s="29">
        <f>+Rápida!F26</f>
        <v>1</v>
      </c>
    </row>
    <row r="7" spans="1:10">
      <c r="A7" s="23" t="s">
        <v>50</v>
      </c>
      <c r="B7" s="77" t="s">
        <v>81</v>
      </c>
      <c r="C7" s="29">
        <f>+Rápida!F22</f>
        <v>5.0000000000000001E-4</v>
      </c>
      <c r="D7" s="29">
        <f>+Rápida!F28</f>
        <v>5.0000000000000001E-4</v>
      </c>
    </row>
    <row r="8" spans="1:10">
      <c r="A8" s="23" t="s">
        <v>51</v>
      </c>
      <c r="B8" s="77"/>
      <c r="C8" s="29">
        <f>+Rápida!F21</f>
        <v>1.7999999999999999E-2</v>
      </c>
      <c r="D8" s="29">
        <f>+Rápida!F27</f>
        <v>1.7999999999999999E-2</v>
      </c>
    </row>
    <row r="9" spans="1:10">
      <c r="A9" s="23" t="s">
        <v>188</v>
      </c>
      <c r="B9" s="77" t="s">
        <v>82</v>
      </c>
      <c r="C9" s="29">
        <f>+Rápida!F11</f>
        <v>1090</v>
      </c>
      <c r="D9" s="29">
        <f>+Rápida!F13</f>
        <v>1078.71</v>
      </c>
    </row>
    <row r="10" spans="1:10" ht="4.5" customHeight="1"/>
    <row r="11" spans="1:10" ht="3.75" customHeight="1"/>
    <row r="15" spans="1:10" ht="59.25" customHeight="1">
      <c r="A15" s="374" t="s">
        <v>90</v>
      </c>
      <c r="B15" s="278"/>
      <c r="C15" s="45" t="s">
        <v>186</v>
      </c>
      <c r="D15" s="45" t="s">
        <v>187</v>
      </c>
    </row>
    <row r="16" spans="1:10">
      <c r="A16" s="23" t="s">
        <v>53</v>
      </c>
      <c r="B16" s="23" t="s">
        <v>91</v>
      </c>
      <c r="C16" s="25">
        <v>2.3507045288962001</v>
      </c>
      <c r="D16" s="25">
        <v>2.3507045288962001</v>
      </c>
    </row>
    <row r="17" spans="1:6">
      <c r="A17" s="23" t="s">
        <v>55</v>
      </c>
      <c r="B17" s="23" t="s">
        <v>82</v>
      </c>
      <c r="C17" s="25">
        <v>4.1471060088880112</v>
      </c>
      <c r="D17" s="25">
        <v>4.1471060088880112</v>
      </c>
    </row>
    <row r="18" spans="1:6">
      <c r="A18" s="23" t="s">
        <v>56</v>
      </c>
      <c r="B18" s="23" t="s">
        <v>82</v>
      </c>
      <c r="C18" s="25">
        <v>0.56683010365739572</v>
      </c>
      <c r="D18" s="25">
        <v>0.56683010365739572</v>
      </c>
    </row>
    <row r="19" spans="1:6">
      <c r="A19" s="23" t="s">
        <v>57</v>
      </c>
      <c r="B19" s="23" t="s">
        <v>82</v>
      </c>
      <c r="C19" s="25">
        <v>3.2253399999976438</v>
      </c>
      <c r="D19" s="25">
        <v>3.2253399999976438</v>
      </c>
    </row>
    <row r="20" spans="1:6">
      <c r="A20" s="23" t="s">
        <v>58</v>
      </c>
      <c r="B20" s="23" t="s">
        <v>92</v>
      </c>
      <c r="C20" s="25">
        <v>0.85080875772129583</v>
      </c>
      <c r="D20" s="25">
        <v>0.85080875772129583</v>
      </c>
    </row>
    <row r="21" spans="1:6">
      <c r="A21" s="23" t="s">
        <v>62</v>
      </c>
      <c r="B21" s="23" t="s">
        <v>93</v>
      </c>
      <c r="C21" s="25">
        <v>1.1495647778895077</v>
      </c>
      <c r="D21" s="25">
        <v>1.1495647778895077</v>
      </c>
    </row>
    <row r="22" spans="1:6">
      <c r="A22" s="23" t="s">
        <v>63</v>
      </c>
      <c r="B22" s="23"/>
      <c r="C22" s="25">
        <v>0.31818974401921296</v>
      </c>
      <c r="D22" s="25">
        <v>0.31818974401921296</v>
      </c>
    </row>
    <row r="23" spans="1:6" ht="15">
      <c r="A23" s="106" t="s">
        <v>64</v>
      </c>
      <c r="B23" s="106" t="s">
        <v>82</v>
      </c>
      <c r="C23" s="59">
        <v>1.1126699999988219</v>
      </c>
      <c r="D23" s="59">
        <v>1.1126699999988219</v>
      </c>
    </row>
    <row r="25" spans="1:6" ht="18">
      <c r="A25" s="105" t="s">
        <v>189</v>
      </c>
    </row>
    <row r="26" spans="1:6">
      <c r="A26" s="323" t="s">
        <v>133</v>
      </c>
      <c r="B26" s="381" t="s">
        <v>82</v>
      </c>
      <c r="C26" s="25">
        <f>+(27*C4^2/(8*C21^3*9.80665))^0.5</f>
        <v>0.95193297996153992</v>
      </c>
      <c r="D26" s="260" t="s">
        <v>190</v>
      </c>
      <c r="E26" s="288"/>
      <c r="F26" s="261"/>
    </row>
    <row r="27" spans="1:6">
      <c r="A27" s="323"/>
      <c r="B27" s="382"/>
      <c r="C27" s="25">
        <f>0.765*C4^(2/5)</f>
        <v>1.009423551741264</v>
      </c>
      <c r="D27" s="260" t="s">
        <v>191</v>
      </c>
      <c r="E27" s="288"/>
      <c r="F27" s="261"/>
    </row>
    <row r="28" spans="1:6">
      <c r="A28" s="323"/>
      <c r="B28" s="383"/>
      <c r="C28" s="25">
        <f>18.78*C4^0.5/(10.11+C4)</f>
        <v>2.1931404377676906</v>
      </c>
      <c r="D28" s="260" t="s">
        <v>192</v>
      </c>
      <c r="E28" s="288"/>
      <c r="F28" s="261"/>
    </row>
    <row r="29" spans="1:6" ht="15">
      <c r="A29" s="59" t="s">
        <v>193</v>
      </c>
      <c r="B29" s="59" t="s">
        <v>82</v>
      </c>
      <c r="C29" s="59">
        <v>1</v>
      </c>
    </row>
    <row r="30" spans="1:6" ht="20.25" customHeight="1">
      <c r="A30" s="25" t="s">
        <v>194</v>
      </c>
      <c r="B30" s="25" t="s">
        <v>82</v>
      </c>
      <c r="C30" s="25">
        <f>+(C4^2/(C29^2*9.80665))^(1/3)</f>
        <v>0.74161716288220902</v>
      </c>
      <c r="D30" s="388" t="s">
        <v>195</v>
      </c>
      <c r="E30" s="388"/>
      <c r="F30" s="388"/>
    </row>
    <row r="31" spans="1:6" ht="20.25" customHeight="1">
      <c r="A31" s="25" t="s">
        <v>196</v>
      </c>
      <c r="B31" s="25" t="s">
        <v>197</v>
      </c>
      <c r="C31" s="25">
        <f>+C30*3/2</f>
        <v>1.1124257443233136</v>
      </c>
      <c r="D31" s="388"/>
      <c r="E31" s="388"/>
      <c r="F31" s="388"/>
    </row>
    <row r="32" spans="1:6" ht="30" customHeight="1">
      <c r="A32" s="107" t="s">
        <v>198</v>
      </c>
      <c r="B32" s="25" t="s">
        <v>82</v>
      </c>
      <c r="C32" s="25">
        <f>+H37*((C4/(C30*C29))^2-C20^2)/(2*9.80665)</f>
        <v>3.3390120011235029E-2</v>
      </c>
      <c r="D32" s="388"/>
      <c r="E32" s="388"/>
      <c r="F32" s="388"/>
    </row>
    <row r="33" spans="1:17" ht="20.25" customHeight="1">
      <c r="A33" s="25" t="s">
        <v>199</v>
      </c>
      <c r="B33" s="25" t="s">
        <v>82</v>
      </c>
      <c r="C33" s="25">
        <f>+C21-C31+C32</f>
        <v>7.0529153577429116E-2</v>
      </c>
      <c r="D33" s="388"/>
      <c r="E33" s="388"/>
      <c r="F33" s="388"/>
    </row>
    <row r="35" spans="1:17" ht="18">
      <c r="A35" s="105" t="s">
        <v>200</v>
      </c>
    </row>
    <row r="36" spans="1:17" ht="62.25" customHeight="1">
      <c r="A36" s="374" t="s">
        <v>201</v>
      </c>
      <c r="B36" s="278"/>
      <c r="C36" s="108" t="s">
        <v>78</v>
      </c>
      <c r="D36" s="108" t="s">
        <v>79</v>
      </c>
      <c r="F36" s="294" t="s">
        <v>202</v>
      </c>
      <c r="G36" s="294"/>
      <c r="H36" s="294"/>
      <c r="J36" s="374" t="s">
        <v>203</v>
      </c>
      <c r="K36" s="278"/>
      <c r="L36" s="108" t="s">
        <v>78</v>
      </c>
      <c r="M36" s="108" t="s">
        <v>79</v>
      </c>
      <c r="O36" s="294" t="s">
        <v>202</v>
      </c>
      <c r="P36" s="294"/>
      <c r="Q36" s="294"/>
    </row>
    <row r="37" spans="1:17">
      <c r="A37" s="23" t="s">
        <v>45</v>
      </c>
      <c r="B37" s="77" t="s">
        <v>80</v>
      </c>
      <c r="C37" s="25">
        <f t="shared" ref="C37:C42" si="0">+C4</f>
        <v>2</v>
      </c>
      <c r="D37" s="25">
        <f>+C37</f>
        <v>2</v>
      </c>
      <c r="F37" s="260" t="s">
        <v>204</v>
      </c>
      <c r="G37" s="288"/>
      <c r="H37" s="23">
        <v>0.1</v>
      </c>
      <c r="J37" s="23" t="s">
        <v>45</v>
      </c>
      <c r="K37" s="77" t="s">
        <v>80</v>
      </c>
      <c r="L37" s="25">
        <f>+D37</f>
        <v>2</v>
      </c>
      <c r="M37" s="25">
        <f>+D4</f>
        <v>2</v>
      </c>
      <c r="O37" s="260" t="s">
        <v>204</v>
      </c>
      <c r="P37" s="288"/>
      <c r="Q37" s="23">
        <v>0.2</v>
      </c>
    </row>
    <row r="38" spans="1:17">
      <c r="A38" s="23" t="s">
        <v>47</v>
      </c>
      <c r="B38" s="77" t="s">
        <v>81</v>
      </c>
      <c r="C38" s="25">
        <f t="shared" si="0"/>
        <v>1</v>
      </c>
      <c r="D38" s="25">
        <v>0.1</v>
      </c>
      <c r="F38" s="260" t="s">
        <v>205</v>
      </c>
      <c r="G38" s="288"/>
      <c r="H38" s="23">
        <v>12.5</v>
      </c>
      <c r="J38" s="23" t="s">
        <v>47</v>
      </c>
      <c r="K38" s="77" t="s">
        <v>81</v>
      </c>
      <c r="L38" s="25">
        <f t="shared" ref="L38:L41" si="1">+D38</f>
        <v>0.1</v>
      </c>
      <c r="M38" s="25">
        <f t="shared" ref="M38:M42" si="2">+D5</f>
        <v>1</v>
      </c>
      <c r="O38" s="260" t="s">
        <v>205</v>
      </c>
      <c r="P38" s="288"/>
      <c r="Q38" s="23">
        <v>12.5</v>
      </c>
    </row>
    <row r="39" spans="1:17">
      <c r="A39" s="23" t="s">
        <v>49</v>
      </c>
      <c r="B39" s="77" t="s">
        <v>82</v>
      </c>
      <c r="C39" s="25">
        <f t="shared" si="0"/>
        <v>1</v>
      </c>
      <c r="D39" s="25">
        <f>+C29</f>
        <v>1</v>
      </c>
      <c r="J39" s="23" t="s">
        <v>49</v>
      </c>
      <c r="K39" s="77" t="s">
        <v>82</v>
      </c>
      <c r="L39" s="25">
        <f t="shared" si="1"/>
        <v>1</v>
      </c>
      <c r="M39" s="25">
        <f t="shared" si="2"/>
        <v>1</v>
      </c>
    </row>
    <row r="40" spans="1:17">
      <c r="A40" s="23" t="s">
        <v>50</v>
      </c>
      <c r="B40" s="77" t="s">
        <v>81</v>
      </c>
      <c r="C40" s="25">
        <f t="shared" si="0"/>
        <v>5.0000000000000001E-4</v>
      </c>
      <c r="D40" s="25"/>
      <c r="J40" s="23" t="s">
        <v>50</v>
      </c>
      <c r="K40" s="77" t="s">
        <v>81</v>
      </c>
      <c r="L40" s="25"/>
      <c r="M40" s="25">
        <f t="shared" si="2"/>
        <v>5.0000000000000001E-4</v>
      </c>
    </row>
    <row r="41" spans="1:17">
      <c r="A41" s="23" t="s">
        <v>51</v>
      </c>
      <c r="B41" s="77"/>
      <c r="C41" s="25">
        <f t="shared" si="0"/>
        <v>1.7999999999999999E-2</v>
      </c>
      <c r="D41" s="25">
        <v>1.6E-2</v>
      </c>
      <c r="J41" s="23" t="s">
        <v>51</v>
      </c>
      <c r="K41" s="77"/>
      <c r="L41" s="25">
        <f t="shared" si="1"/>
        <v>1.6E-2</v>
      </c>
      <c r="M41" s="25">
        <f t="shared" si="2"/>
        <v>1.7999999999999999E-2</v>
      </c>
    </row>
    <row r="42" spans="1:17">
      <c r="A42" s="23" t="s">
        <v>188</v>
      </c>
      <c r="B42" s="77" t="s">
        <v>82</v>
      </c>
      <c r="C42" s="29">
        <f t="shared" si="0"/>
        <v>1090</v>
      </c>
      <c r="D42" s="29">
        <f>+C42+C33</f>
        <v>1090.0705291535774</v>
      </c>
      <c r="J42" s="23" t="s">
        <v>188</v>
      </c>
      <c r="K42" s="77" t="s">
        <v>82</v>
      </c>
      <c r="L42" s="25">
        <f>+M42</f>
        <v>1078.71</v>
      </c>
      <c r="M42" s="25">
        <f t="shared" si="2"/>
        <v>1078.71</v>
      </c>
    </row>
    <row r="46" spans="1:17">
      <c r="A46" s="23" t="s">
        <v>53</v>
      </c>
      <c r="B46" s="23" t="s">
        <v>91</v>
      </c>
      <c r="C46" s="25">
        <v>2.1937130446524944</v>
      </c>
      <c r="D46" s="25">
        <v>0.79727574804867973</v>
      </c>
      <c r="J46" s="23" t="s">
        <v>53</v>
      </c>
      <c r="K46" s="23" t="s">
        <v>91</v>
      </c>
      <c r="L46" s="25">
        <v>1.1124427329684949</v>
      </c>
      <c r="M46" s="25">
        <v>2.3507271063246415</v>
      </c>
    </row>
    <row r="47" spans="1:17">
      <c r="A47" s="23" t="s">
        <v>55</v>
      </c>
      <c r="B47" s="23" t="s">
        <v>82</v>
      </c>
      <c r="C47" s="25">
        <v>4.0072911992685745</v>
      </c>
      <c r="D47" s="25">
        <v>2.491785447424081</v>
      </c>
      <c r="J47" s="23" t="s">
        <v>55</v>
      </c>
      <c r="K47" s="23" t="s">
        <v>82</v>
      </c>
      <c r="L47" s="25">
        <v>3.0307984665253449</v>
      </c>
      <c r="M47" s="25">
        <v>4.1471258078773943</v>
      </c>
    </row>
    <row r="48" spans="1:17">
      <c r="A48" s="23" t="s">
        <v>56</v>
      </c>
      <c r="B48" s="23" t="s">
        <v>82</v>
      </c>
      <c r="C48" s="25">
        <v>0.54743040512077057</v>
      </c>
      <c r="D48" s="25">
        <v>0.31996163589159532</v>
      </c>
      <c r="J48" s="23" t="s">
        <v>56</v>
      </c>
      <c r="K48" s="23" t="s">
        <v>82</v>
      </c>
      <c r="L48" s="25">
        <v>0.3670460920629452</v>
      </c>
      <c r="M48" s="25">
        <v>0.56683284164166803</v>
      </c>
    </row>
    <row r="49" spans="1:14">
      <c r="A49" s="23" t="s">
        <v>57</v>
      </c>
      <c r="B49" s="23" t="s">
        <v>82</v>
      </c>
      <c r="C49" s="25">
        <v>3.1264760000054337</v>
      </c>
      <c r="D49" s="25">
        <v>1.148438200000101</v>
      </c>
      <c r="J49" s="23" t="s">
        <v>57</v>
      </c>
      <c r="K49" s="23" t="s">
        <v>82</v>
      </c>
      <c r="L49" s="25">
        <v>1.2020720000014133</v>
      </c>
      <c r="M49" s="25">
        <v>3.2253539999972971</v>
      </c>
    </row>
    <row r="50" spans="1:14">
      <c r="A50" s="23" t="s">
        <v>58</v>
      </c>
      <c r="B50" s="23" t="s">
        <v>92</v>
      </c>
      <c r="C50" s="25">
        <v>0.91169626988146923</v>
      </c>
      <c r="D50" s="25">
        <v>2.5085423768313153</v>
      </c>
      <c r="J50" s="23" t="s">
        <v>58</v>
      </c>
      <c r="K50" s="23" t="s">
        <v>92</v>
      </c>
      <c r="L50" s="25">
        <v>1.7978453548463615</v>
      </c>
      <c r="M50" s="25">
        <v>0.85080058617565235</v>
      </c>
    </row>
    <row r="51" spans="1:14">
      <c r="A51" s="23" t="s">
        <v>62</v>
      </c>
      <c r="B51" s="23" t="s">
        <v>93</v>
      </c>
      <c r="C51" s="25">
        <v>1.1056024285713093</v>
      </c>
      <c r="D51" s="25">
        <v>1.0629241731074621</v>
      </c>
      <c r="J51" s="23" t="s">
        <v>62</v>
      </c>
      <c r="K51" s="23" t="s">
        <v>93</v>
      </c>
      <c r="L51" s="25">
        <v>1.1751025035719314</v>
      </c>
      <c r="M51" s="25">
        <v>1.1495710691850316</v>
      </c>
    </row>
    <row r="52" spans="1:14">
      <c r="A52" s="23" t="s">
        <v>63</v>
      </c>
      <c r="B52" s="23"/>
      <c r="C52" s="25">
        <v>0.34755815321036632</v>
      </c>
      <c r="D52" s="25">
        <v>0.96125027340577518</v>
      </c>
      <c r="J52" s="23" t="s">
        <v>63</v>
      </c>
      <c r="K52" s="23"/>
      <c r="L52" s="25">
        <v>0.59678569355125444</v>
      </c>
      <c r="M52" s="25">
        <v>0.31818585053741627</v>
      </c>
    </row>
    <row r="53" spans="1:14">
      <c r="A53" s="23" t="s">
        <v>206</v>
      </c>
      <c r="B53" s="23" t="s">
        <v>82</v>
      </c>
      <c r="C53" s="25">
        <v>1.0632380000027168</v>
      </c>
      <c r="D53" s="25">
        <v>0.74219100000050475</v>
      </c>
      <c r="J53" s="23" t="s">
        <v>206</v>
      </c>
      <c r="K53" s="23" t="s">
        <v>82</v>
      </c>
      <c r="L53" s="25">
        <v>1.0103600000070669</v>
      </c>
      <c r="M53" s="25">
        <v>1.1126769999986486</v>
      </c>
    </row>
    <row r="55" spans="1:14">
      <c r="A55" s="375" t="s">
        <v>94</v>
      </c>
      <c r="B55" s="302"/>
      <c r="C55" s="302"/>
      <c r="D55" s="25">
        <f>+(C49-D49)/2*_xlfn.COT(H38/180*PI())</f>
        <v>4.4611759625245204</v>
      </c>
      <c r="J55" s="375" t="s">
        <v>94</v>
      </c>
      <c r="K55" s="302"/>
      <c r="L55" s="302"/>
      <c r="M55" s="25">
        <f>+(L49-M49)/2*_xlfn.COT(Q38/180*PI())</f>
        <v>-4.5632176613439039</v>
      </c>
    </row>
    <row r="56" spans="1:14">
      <c r="A56" s="375" t="s">
        <v>96</v>
      </c>
      <c r="B56" s="302"/>
      <c r="C56" s="302"/>
      <c r="D56" s="25">
        <f>ROUNDUP(ABS(D55),1)</f>
        <v>4.5</v>
      </c>
      <c r="J56" s="375" t="s">
        <v>96</v>
      </c>
      <c r="K56" s="302"/>
      <c r="L56" s="302"/>
      <c r="M56" s="25">
        <f>ROUNDUP(ABS(M55),1)</f>
        <v>4.5999999999999996</v>
      </c>
    </row>
    <row r="58" spans="1:14" ht="15">
      <c r="A58" s="376" t="s">
        <v>108</v>
      </c>
      <c r="B58" s="377"/>
      <c r="C58" s="377"/>
      <c r="D58" s="378"/>
      <c r="E58" s="378"/>
      <c r="J58" s="376" t="s">
        <v>108</v>
      </c>
      <c r="K58" s="377"/>
      <c r="L58" s="377"/>
      <c r="M58" s="378"/>
      <c r="N58" s="378"/>
    </row>
    <row r="59" spans="1:14" ht="42.75">
      <c r="A59" s="110" t="s">
        <v>110</v>
      </c>
      <c r="B59" s="111">
        <f>+ROUNDUP(C53*(1+D59),1)</f>
        <v>1.5</v>
      </c>
      <c r="C59" s="112" t="s">
        <v>44</v>
      </c>
      <c r="D59" s="113">
        <v>0.33300000000000002</v>
      </c>
      <c r="E59" s="270" t="s">
        <v>52</v>
      </c>
      <c r="J59" s="110" t="s">
        <v>110</v>
      </c>
      <c r="K59" s="111">
        <f>+ROUNDUP(L53*(1+M59),1)</f>
        <v>1.4000000000000001</v>
      </c>
      <c r="L59" s="112" t="s">
        <v>44</v>
      </c>
      <c r="M59" s="113">
        <v>0.33300000000000002</v>
      </c>
      <c r="N59" s="270" t="s">
        <v>52</v>
      </c>
    </row>
    <row r="60" spans="1:14" ht="42.75">
      <c r="A60" s="114" t="s">
        <v>111</v>
      </c>
      <c r="B60" s="111">
        <f>+ROUNDUP(D53*(1+D60),1)</f>
        <v>1</v>
      </c>
      <c r="C60" s="112" t="s">
        <v>44</v>
      </c>
      <c r="D60" s="115">
        <v>0.33300000000000002</v>
      </c>
      <c r="E60" s="270"/>
      <c r="J60" s="114" t="s">
        <v>111</v>
      </c>
      <c r="K60" s="111">
        <f>+ROUNDUP(M53*(1+M60),1)</f>
        <v>1.5</v>
      </c>
      <c r="L60" s="112" t="s">
        <v>44</v>
      </c>
      <c r="M60" s="115">
        <v>0.33300000000000002</v>
      </c>
      <c r="N60" s="270"/>
    </row>
    <row r="61" spans="1:14" ht="42.75">
      <c r="A61" s="116" t="s">
        <v>207</v>
      </c>
      <c r="B61" s="111">
        <f>+Rápida!F6</f>
        <v>35</v>
      </c>
      <c r="C61" s="112" t="s">
        <v>44</v>
      </c>
      <c r="J61" s="116" t="s">
        <v>208</v>
      </c>
      <c r="K61" s="111">
        <f>+Rápida!F8</f>
        <v>15</v>
      </c>
      <c r="L61" s="112" t="s">
        <v>44</v>
      </c>
    </row>
    <row r="62" spans="1:14">
      <c r="A62" s="51" t="s">
        <v>72</v>
      </c>
      <c r="B62" s="28" t="s">
        <v>73</v>
      </c>
      <c r="C62" s="28" t="s">
        <v>43</v>
      </c>
      <c r="D62" s="28" t="s">
        <v>74</v>
      </c>
      <c r="J62" s="52" t="s">
        <v>72</v>
      </c>
      <c r="K62" s="28" t="s">
        <v>73</v>
      </c>
      <c r="L62" s="28" t="s">
        <v>43</v>
      </c>
      <c r="M62" s="28" t="s">
        <v>74</v>
      </c>
    </row>
    <row r="63" spans="1:14">
      <c r="A63" s="51">
        <v>1</v>
      </c>
      <c r="B63" s="117">
        <f>-(B59*C38+C39/2)</f>
        <v>-2</v>
      </c>
      <c r="C63" s="117">
        <v>0</v>
      </c>
      <c r="D63" s="117">
        <f>+B61*C40+B59+C9</f>
        <v>1091.5174999999999</v>
      </c>
      <c r="J63" s="52">
        <v>1</v>
      </c>
      <c r="K63" s="117">
        <f>+-(L38*K59+L39/2)</f>
        <v>-0.64</v>
      </c>
      <c r="L63" s="117">
        <f>+C216</f>
        <v>115.3661057451033</v>
      </c>
      <c r="M63" s="117">
        <f>+D9+K60</f>
        <v>1080.21</v>
      </c>
    </row>
    <row r="64" spans="1:14">
      <c r="A64" s="51">
        <v>2</v>
      </c>
      <c r="B64" s="117">
        <f>-C39/2</f>
        <v>-0.5</v>
      </c>
      <c r="C64" s="117">
        <v>0</v>
      </c>
      <c r="D64" s="117">
        <f>+B61*C40+C9</f>
        <v>1090.0174999999999</v>
      </c>
      <c r="J64" s="52">
        <v>2</v>
      </c>
      <c r="K64" s="117">
        <f>-(L39/2)</f>
        <v>-0.5</v>
      </c>
      <c r="L64" s="117">
        <f t="shared" ref="L64:L66" si="3">+C217</f>
        <v>115.3661057451033</v>
      </c>
      <c r="M64" s="117">
        <f>+D9</f>
        <v>1078.71</v>
      </c>
    </row>
    <row r="65" spans="1:13">
      <c r="A65" s="51">
        <v>3</v>
      </c>
      <c r="B65" s="117">
        <f>+C39/2</f>
        <v>0.5</v>
      </c>
      <c r="C65" s="117">
        <v>0</v>
      </c>
      <c r="D65" s="117">
        <f>+B61*C40+C9</f>
        <v>1090.0174999999999</v>
      </c>
      <c r="J65" s="52">
        <v>3</v>
      </c>
      <c r="K65" s="117">
        <f>+K64*-1</f>
        <v>0.5</v>
      </c>
      <c r="L65" s="117">
        <f t="shared" si="3"/>
        <v>115.3661057451033</v>
      </c>
      <c r="M65" s="117">
        <f>+M64</f>
        <v>1078.71</v>
      </c>
    </row>
    <row r="66" spans="1:13">
      <c r="A66" s="51">
        <v>4</v>
      </c>
      <c r="B66" s="117">
        <f>(B59*C38+C39/2)</f>
        <v>2</v>
      </c>
      <c r="C66" s="117">
        <v>0</v>
      </c>
      <c r="D66" s="117">
        <f>D63</f>
        <v>1091.5174999999999</v>
      </c>
      <c r="J66" s="52">
        <v>4</v>
      </c>
      <c r="K66" s="117">
        <f>+K63*-1</f>
        <v>0.64</v>
      </c>
      <c r="L66" s="117">
        <f t="shared" si="3"/>
        <v>115.3661057451033</v>
      </c>
      <c r="M66" s="117">
        <f>+M63</f>
        <v>1080.21</v>
      </c>
    </row>
    <row r="67" spans="1:13">
      <c r="A67" s="51">
        <v>5</v>
      </c>
      <c r="B67" s="117">
        <f>+B66</f>
        <v>2</v>
      </c>
      <c r="C67" s="118">
        <f>+B61</f>
        <v>35</v>
      </c>
      <c r="D67" s="117">
        <f>+B59+C9</f>
        <v>1091.5</v>
      </c>
      <c r="J67" s="52">
        <v>5</v>
      </c>
      <c r="K67" s="117">
        <f>(M38*K60+M39/2)</f>
        <v>2</v>
      </c>
      <c r="L67" s="118">
        <f>+L63+$M$56</f>
        <v>119.96610574510329</v>
      </c>
      <c r="M67" s="117">
        <f t="shared" ref="M67" si="4">+M66</f>
        <v>1080.21</v>
      </c>
    </row>
    <row r="68" spans="1:13">
      <c r="A68" s="51">
        <v>6</v>
      </c>
      <c r="B68" s="117">
        <f>+B65</f>
        <v>0.5</v>
      </c>
      <c r="C68" s="118">
        <f>+C67</f>
        <v>35</v>
      </c>
      <c r="D68" s="117">
        <f>+C9</f>
        <v>1090</v>
      </c>
      <c r="J68" s="52">
        <v>6</v>
      </c>
      <c r="K68" s="117">
        <f>(M39/2)</f>
        <v>0.5</v>
      </c>
      <c r="L68" s="118">
        <f t="shared" ref="L68:L70" si="5">+L64+$M$56</f>
        <v>119.96610574510329</v>
      </c>
      <c r="M68" s="117">
        <f>+M64</f>
        <v>1078.71</v>
      </c>
    </row>
    <row r="69" spans="1:13">
      <c r="A69" s="51">
        <v>7</v>
      </c>
      <c r="B69" s="117">
        <f>+B64</f>
        <v>-0.5</v>
      </c>
      <c r="C69" s="118">
        <f t="shared" ref="C69:C70" si="6">+C68</f>
        <v>35</v>
      </c>
      <c r="D69" s="117">
        <f>+C9</f>
        <v>1090</v>
      </c>
      <c r="J69" s="52">
        <v>7</v>
      </c>
      <c r="K69" s="117">
        <f>+K68*-1</f>
        <v>-0.5</v>
      </c>
      <c r="L69" s="118">
        <f t="shared" si="5"/>
        <v>119.96610574510329</v>
      </c>
      <c r="M69" s="117">
        <f>+M68</f>
        <v>1078.71</v>
      </c>
    </row>
    <row r="70" spans="1:13">
      <c r="A70" s="51">
        <v>8</v>
      </c>
      <c r="B70" s="117">
        <f>+B63</f>
        <v>-2</v>
      </c>
      <c r="C70" s="118">
        <f t="shared" si="6"/>
        <v>35</v>
      </c>
      <c r="D70" s="117">
        <f>+D67</f>
        <v>1091.5</v>
      </c>
      <c r="J70" s="52">
        <v>8</v>
      </c>
      <c r="K70" s="117">
        <f>+K67*-1</f>
        <v>-2</v>
      </c>
      <c r="L70" s="118">
        <f t="shared" si="5"/>
        <v>119.96610574510329</v>
      </c>
      <c r="M70" s="117">
        <f>+M67</f>
        <v>1080.21</v>
      </c>
    </row>
    <row r="71" spans="1:13">
      <c r="A71" s="51">
        <v>9</v>
      </c>
      <c r="B71" s="117">
        <f>-(B60*D38+D39/2)</f>
        <v>-0.6</v>
      </c>
      <c r="C71" s="118">
        <f>$C$70+$D$56</f>
        <v>39.5</v>
      </c>
      <c r="D71" s="117">
        <f>+B60+D42</f>
        <v>1091.0705291535774</v>
      </c>
      <c r="J71" s="119">
        <v>9</v>
      </c>
      <c r="K71" s="120">
        <f>+K70</f>
        <v>-2</v>
      </c>
      <c r="L71" s="118">
        <f>+L67+$K$61</f>
        <v>134.96610574510328</v>
      </c>
      <c r="M71" s="120">
        <f>+$M$70-$K$61*$M$40</f>
        <v>1080.2025000000001</v>
      </c>
    </row>
    <row r="72" spans="1:13">
      <c r="A72" s="51">
        <v>10</v>
      </c>
      <c r="B72" s="117">
        <f>-D39/2</f>
        <v>-0.5</v>
      </c>
      <c r="C72" s="118">
        <f t="shared" ref="C72:C74" si="7">$C$70+$D$56</f>
        <v>39.5</v>
      </c>
      <c r="D72" s="117">
        <f>+D42</f>
        <v>1090.0705291535774</v>
      </c>
      <c r="J72" s="51">
        <v>10</v>
      </c>
      <c r="K72" s="117">
        <f>+K69</f>
        <v>-0.5</v>
      </c>
      <c r="L72" s="118">
        <f t="shared" ref="L72:L74" si="8">+L68+$K$61</f>
        <v>134.96610574510328</v>
      </c>
      <c r="M72" s="117">
        <f>+$M$69-$K$61*$M$40</f>
        <v>1078.7025000000001</v>
      </c>
    </row>
    <row r="73" spans="1:13">
      <c r="A73" s="51">
        <v>11</v>
      </c>
      <c r="B73" s="117">
        <f>+D39/2</f>
        <v>0.5</v>
      </c>
      <c r="C73" s="118">
        <f t="shared" si="7"/>
        <v>39.5</v>
      </c>
      <c r="D73" s="117">
        <f>+D42</f>
        <v>1090.0705291535774</v>
      </c>
      <c r="J73" s="51">
        <v>11</v>
      </c>
      <c r="K73" s="117">
        <f>+K68</f>
        <v>0.5</v>
      </c>
      <c r="L73" s="118">
        <f t="shared" si="8"/>
        <v>134.96610574510328</v>
      </c>
      <c r="M73" s="117">
        <f>+M72</f>
        <v>1078.7025000000001</v>
      </c>
    </row>
    <row r="74" spans="1:13">
      <c r="A74" s="51">
        <v>12</v>
      </c>
      <c r="B74" s="117">
        <f>+(B60*D38+D39/2)</f>
        <v>0.6</v>
      </c>
      <c r="C74" s="118">
        <f t="shared" si="7"/>
        <v>39.5</v>
      </c>
      <c r="D74" s="117">
        <f>+B60+D42</f>
        <v>1091.0705291535774</v>
      </c>
      <c r="J74" s="51">
        <v>12</v>
      </c>
      <c r="K74" s="117">
        <f>+K67</f>
        <v>2</v>
      </c>
      <c r="L74" s="118">
        <f t="shared" si="8"/>
        <v>134.96610574510328</v>
      </c>
      <c r="M74" s="117">
        <f>+M71</f>
        <v>1080.2025000000001</v>
      </c>
    </row>
    <row r="76" spans="1:13" ht="18">
      <c r="A76" s="105" t="s">
        <v>209</v>
      </c>
    </row>
    <row r="78" spans="1:13" ht="15">
      <c r="C78" s="374" t="s">
        <v>210</v>
      </c>
      <c r="D78" s="278"/>
    </row>
    <row r="79" spans="1:13" ht="15">
      <c r="A79" s="389" t="s">
        <v>90</v>
      </c>
      <c r="B79" s="390"/>
      <c r="C79" s="45" t="s">
        <v>211</v>
      </c>
      <c r="D79" s="45" t="s">
        <v>212</v>
      </c>
    </row>
    <row r="80" spans="1:13">
      <c r="A80" s="121" t="s">
        <v>213</v>
      </c>
      <c r="B80" s="122" t="s">
        <v>82</v>
      </c>
      <c r="C80" s="365">
        <f>+Rápida!F7</f>
        <v>55</v>
      </c>
      <c r="D80" s="366"/>
    </row>
    <row r="81" spans="1:16">
      <c r="A81" s="124" t="s">
        <v>214</v>
      </c>
      <c r="B81" s="125" t="s">
        <v>82</v>
      </c>
      <c r="C81" s="123">
        <f>+D42</f>
        <v>1090.0705291535774</v>
      </c>
      <c r="D81" s="126">
        <f>+Rápida!F12</f>
        <v>1081.43</v>
      </c>
    </row>
    <row r="82" spans="1:16">
      <c r="A82" s="124" t="s">
        <v>215</v>
      </c>
      <c r="B82" s="125" t="s">
        <v>81</v>
      </c>
      <c r="C82" s="365">
        <f>(C81-D81)/C80</f>
        <v>0.15710053006504165</v>
      </c>
      <c r="D82" s="366"/>
    </row>
    <row r="83" spans="1:16">
      <c r="A83" s="124" t="s">
        <v>216</v>
      </c>
      <c r="B83" s="125" t="s">
        <v>82</v>
      </c>
      <c r="C83" s="384">
        <f>+D39</f>
        <v>1</v>
      </c>
      <c r="D83" s="385"/>
    </row>
    <row r="84" spans="1:16">
      <c r="A84" s="124" t="s">
        <v>161</v>
      </c>
      <c r="B84" s="125"/>
      <c r="C84" s="386">
        <f>+D41</f>
        <v>1.6E-2</v>
      </c>
      <c r="D84" s="387"/>
    </row>
    <row r="85" spans="1:16">
      <c r="A85" s="302" t="s">
        <v>217</v>
      </c>
      <c r="B85" s="260"/>
      <c r="C85" s="379">
        <v>5</v>
      </c>
      <c r="D85" s="380"/>
    </row>
    <row r="89" spans="1:16">
      <c r="A89" s="302" t="s">
        <v>218</v>
      </c>
      <c r="B89" s="302"/>
      <c r="C89" s="302"/>
      <c r="D89" s="302"/>
    </row>
    <row r="90" spans="1:16">
      <c r="A90" s="302"/>
      <c r="B90" s="302"/>
      <c r="C90" s="302"/>
      <c r="D90" s="302"/>
    </row>
    <row r="91" spans="1:16">
      <c r="A91" s="77" t="s">
        <v>219</v>
      </c>
      <c r="B91" s="36" t="s">
        <v>82</v>
      </c>
      <c r="C91" s="368">
        <f>+D53</f>
        <v>0.74219100000050475</v>
      </c>
      <c r="D91" s="369"/>
    </row>
    <row r="92" spans="1:16">
      <c r="A92" s="127" t="s">
        <v>64</v>
      </c>
      <c r="B92" s="128" t="s">
        <v>82</v>
      </c>
      <c r="C92" s="368">
        <v>0.25411400000008993</v>
      </c>
      <c r="D92" s="369"/>
      <c r="E92" s="70"/>
    </row>
    <row r="93" spans="1:16">
      <c r="A93" s="260" t="s">
        <v>220</v>
      </c>
      <c r="B93" s="261"/>
      <c r="C93" s="363">
        <v>2</v>
      </c>
      <c r="D93" s="364"/>
    </row>
    <row r="94" spans="1:16">
      <c r="A94" s="77" t="s">
        <v>221</v>
      </c>
      <c r="B94" s="36" t="s">
        <v>82</v>
      </c>
      <c r="C94" s="368">
        <f>+C92*(1+C93/100)</f>
        <v>0.25919628000009176</v>
      </c>
      <c r="D94" s="369"/>
    </row>
    <row r="95" spans="1:16">
      <c r="A95" s="129" t="s">
        <v>222</v>
      </c>
      <c r="B95" s="80" t="s">
        <v>82</v>
      </c>
      <c r="C95" s="368">
        <f>+(C94-C91)/C85</f>
        <v>-9.6598944000082593E-2</v>
      </c>
      <c r="D95" s="369"/>
    </row>
    <row r="96" spans="1:16" ht="15" customHeight="1">
      <c r="A96" s="349" t="s">
        <v>43</v>
      </c>
      <c r="B96" s="362" t="s">
        <v>150</v>
      </c>
      <c r="C96" s="324" t="s">
        <v>223</v>
      </c>
      <c r="D96" s="324" t="s">
        <v>224</v>
      </c>
      <c r="E96" s="324" t="s">
        <v>225</v>
      </c>
      <c r="F96" s="324" t="s">
        <v>226</v>
      </c>
      <c r="G96" s="324" t="s">
        <v>227</v>
      </c>
      <c r="H96" s="324" t="s">
        <v>152</v>
      </c>
      <c r="I96" s="324" t="s">
        <v>228</v>
      </c>
      <c r="J96" s="324" t="s">
        <v>229</v>
      </c>
      <c r="K96" s="324"/>
      <c r="L96" s="324"/>
      <c r="M96" s="324" t="s">
        <v>230</v>
      </c>
      <c r="N96" s="324" t="s">
        <v>116</v>
      </c>
      <c r="O96" s="324" t="s">
        <v>231</v>
      </c>
      <c r="P96" s="370" t="s">
        <v>232</v>
      </c>
    </row>
    <row r="97" spans="1:16">
      <c r="A97" s="323"/>
      <c r="B97" s="349"/>
      <c r="C97" s="349"/>
      <c r="D97" s="349"/>
      <c r="E97" s="349"/>
      <c r="F97" s="349"/>
      <c r="G97" s="349"/>
      <c r="H97" s="349"/>
      <c r="I97" s="349"/>
      <c r="J97" s="349"/>
      <c r="K97" s="349"/>
      <c r="L97" s="349"/>
      <c r="M97" s="349"/>
      <c r="N97" s="349"/>
      <c r="O97" s="349"/>
      <c r="P97" s="371"/>
    </row>
    <row r="98" spans="1:16">
      <c r="A98" s="25">
        <f>+C91</f>
        <v>0.74219100000050475</v>
      </c>
      <c r="B98" s="25">
        <f>+($C$83+$D$38*A98)*A98</f>
        <v>0.79727574804867973</v>
      </c>
      <c r="C98" s="25">
        <f>$C$83+2*A98*(1+$D$38^2)^0.5</f>
        <v>2.491785447424081</v>
      </c>
      <c r="D98" s="25">
        <f>+B98/C98</f>
        <v>0.31996163589159532</v>
      </c>
      <c r="E98" s="25">
        <f t="shared" ref="E98:E103" si="9">+D98^(2/3)</f>
        <v>0.46780544492237353</v>
      </c>
      <c r="F98" s="25">
        <f>+$C$4/B98</f>
        <v>2.5085423768313153</v>
      </c>
      <c r="G98" s="25">
        <f>+F98^2/(2*9.81)</f>
        <v>0.32073317310695743</v>
      </c>
      <c r="H98" s="25">
        <f>+G98+A98</f>
        <v>1.0629241731074621</v>
      </c>
      <c r="I98" s="25"/>
      <c r="J98" s="25">
        <f>+($C$84*F98/E98)^2</f>
        <v>7.3612624947219374E-3</v>
      </c>
      <c r="K98" s="25"/>
      <c r="L98" s="25"/>
      <c r="M98" s="29"/>
      <c r="N98" s="66">
        <v>0</v>
      </c>
      <c r="O98" s="29">
        <f>0.61+0.037*F98*A98^(0.5)</f>
        <v>0.6899615138839621</v>
      </c>
      <c r="P98" s="29">
        <f>+ROUND(O98+A98,1)</f>
        <v>1.4</v>
      </c>
    </row>
    <row r="99" spans="1:16">
      <c r="A99" s="25">
        <f>+A98+$C$95</f>
        <v>0.64559205600042213</v>
      </c>
      <c r="B99" s="25">
        <f>+($C$83+$D$38*A99)*A99</f>
        <v>0.68727096627750728</v>
      </c>
      <c r="C99" s="25">
        <f t="shared" ref="C99:C103" si="10">$C$83+2*A99*(1+$D$38^2)^0.5</f>
        <v>2.2976239729575907</v>
      </c>
      <c r="D99" s="25">
        <f t="shared" ref="D99:D103" si="11">+B99/C99</f>
        <v>0.29912247363646083</v>
      </c>
      <c r="E99" s="25">
        <f t="shared" si="9"/>
        <v>0.44726614788158842</v>
      </c>
      <c r="F99" s="25">
        <f>+$C$4/B99</f>
        <v>2.9100603664849665</v>
      </c>
      <c r="G99" s="25">
        <f t="shared" ref="G99:G103" si="12">+F99^2/(2*9.81)</f>
        <v>0.43162341165069407</v>
      </c>
      <c r="H99" s="25">
        <f>+G99+A99</f>
        <v>1.0772154676511163</v>
      </c>
      <c r="I99" s="24">
        <f>H99-H98</f>
        <v>1.4291294543654187E-2</v>
      </c>
      <c r="J99" s="25">
        <f t="shared" ref="J99:J103" si="13">+($C$84*F99/E99)^2</f>
        <v>1.0837070617725578E-2</v>
      </c>
      <c r="K99" s="25">
        <f>+(J98+J99)/2</f>
        <v>9.0991665562237568E-3</v>
      </c>
      <c r="L99" s="25">
        <f>$C$82-K99</f>
        <v>0.1480013635088179</v>
      </c>
      <c r="M99" s="66">
        <f>+I99/L99</f>
        <v>9.6561911355652563E-2</v>
      </c>
      <c r="N99" s="66">
        <f>+N98+M99</f>
        <v>9.6561911355652563E-2</v>
      </c>
      <c r="O99" s="29">
        <f t="shared" ref="O99:O103" si="14">0.61+0.037*F99*A99^(0.5)</f>
        <v>0.69651328661622869</v>
      </c>
      <c r="P99" s="29">
        <f t="shared" ref="P99:P103" si="15">+ROUND(O99+A99,1)</f>
        <v>1.3</v>
      </c>
    </row>
    <row r="100" spans="1:16">
      <c r="A100" s="25">
        <f>+A99+$C$95</f>
        <v>0.54899311200033951</v>
      </c>
      <c r="B100" s="25">
        <f t="shared" ref="B100:B103" si="16">+($C$83+$D$38*A100)*A100</f>
        <v>0.57913245570272132</v>
      </c>
      <c r="C100" s="25">
        <f t="shared" si="10"/>
        <v>2.1034624984911003</v>
      </c>
      <c r="D100" s="25">
        <f t="shared" si="11"/>
        <v>0.27532340420528378</v>
      </c>
      <c r="E100" s="25">
        <f t="shared" si="9"/>
        <v>0.42321600873689824</v>
      </c>
      <c r="F100" s="25">
        <f t="shared" ref="F100:F103" si="17">+$C$4/B100</f>
        <v>3.4534414024045557</v>
      </c>
      <c r="G100" s="25">
        <f t="shared" si="12"/>
        <v>0.60786225891141399</v>
      </c>
      <c r="H100" s="25">
        <f t="shared" ref="H100:H103" si="18">+G100+A100</f>
        <v>1.1568553709117535</v>
      </c>
      <c r="I100" s="24">
        <f t="shared" ref="I100:I103" si="19">H100-H99</f>
        <v>7.963990326063719E-2</v>
      </c>
      <c r="J100" s="25">
        <f t="shared" si="13"/>
        <v>1.7045901468613272E-2</v>
      </c>
      <c r="K100" s="25">
        <f t="shared" ref="K100:K103" si="20">+(J99+J100)/2</f>
        <v>1.3941486043169426E-2</v>
      </c>
      <c r="L100" s="25">
        <f t="shared" ref="L100:L103" si="21">$C$82-K100</f>
        <v>0.14315904402187224</v>
      </c>
      <c r="M100" s="66">
        <f t="shared" ref="M100:M103" si="22">+I100/L100</f>
        <v>0.55630368171828237</v>
      </c>
      <c r="N100" s="66">
        <f t="shared" ref="N100:N103" si="23">+N99+M100</f>
        <v>0.65286559307393488</v>
      </c>
      <c r="O100" s="29">
        <f t="shared" si="14"/>
        <v>0.70467542496513691</v>
      </c>
      <c r="P100" s="29">
        <f t="shared" si="15"/>
        <v>1.3</v>
      </c>
    </row>
    <row r="101" spans="1:16">
      <c r="A101" s="25">
        <f t="shared" ref="A101:A103" si="24">+A100+$C$95</f>
        <v>0.45239416800025689</v>
      </c>
      <c r="B101" s="25">
        <f t="shared" si="16"/>
        <v>0.47286021632432135</v>
      </c>
      <c r="C101" s="25">
        <f t="shared" si="10"/>
        <v>1.90930102402461</v>
      </c>
      <c r="D101" s="25">
        <f t="shared" si="11"/>
        <v>0.24766142707428118</v>
      </c>
      <c r="E101" s="25">
        <f t="shared" si="9"/>
        <v>0.39437155305920274</v>
      </c>
      <c r="F101" s="25">
        <f t="shared" si="17"/>
        <v>4.2295797594193401</v>
      </c>
      <c r="G101" s="25">
        <f t="shared" si="12"/>
        <v>0.91179128141130295</v>
      </c>
      <c r="H101" s="25">
        <f t="shared" si="18"/>
        <v>1.3641854494115599</v>
      </c>
      <c r="I101" s="24">
        <f t="shared" si="19"/>
        <v>0.20733007849980645</v>
      </c>
      <c r="J101" s="25">
        <f t="shared" si="13"/>
        <v>2.9445792140345782E-2</v>
      </c>
      <c r="K101" s="25">
        <f t="shared" si="20"/>
        <v>2.3245846804479525E-2</v>
      </c>
      <c r="L101" s="25">
        <f t="shared" si="21"/>
        <v>0.13385468326056213</v>
      </c>
      <c r="M101" s="66">
        <f t="shared" si="22"/>
        <v>1.5489191222111875</v>
      </c>
      <c r="N101" s="66">
        <f t="shared" si="23"/>
        <v>2.2017847152851227</v>
      </c>
      <c r="O101" s="29">
        <f t="shared" si="14"/>
        <v>0.71525856427936785</v>
      </c>
      <c r="P101" s="29">
        <f t="shared" si="15"/>
        <v>1.2</v>
      </c>
    </row>
    <row r="102" spans="1:16">
      <c r="A102" s="25">
        <f t="shared" si="24"/>
        <v>0.35579522400017427</v>
      </c>
      <c r="B102" s="25">
        <f t="shared" si="16"/>
        <v>0.36845424814230771</v>
      </c>
      <c r="C102" s="25">
        <f t="shared" si="10"/>
        <v>1.7151395495581196</v>
      </c>
      <c r="D102" s="25">
        <f t="shared" si="11"/>
        <v>0.21482464691414438</v>
      </c>
      <c r="E102" s="25">
        <f t="shared" si="9"/>
        <v>0.35869286487848978</v>
      </c>
      <c r="F102" s="25">
        <f t="shared" si="17"/>
        <v>5.4280823469500126</v>
      </c>
      <c r="G102" s="25">
        <f t="shared" si="12"/>
        <v>1.5017368993511904</v>
      </c>
      <c r="H102" s="25">
        <f t="shared" si="18"/>
        <v>1.8575321233513646</v>
      </c>
      <c r="I102" s="24">
        <f t="shared" si="19"/>
        <v>0.49334667393980469</v>
      </c>
      <c r="J102" s="25">
        <f t="shared" si="13"/>
        <v>5.8625605980385985E-2</v>
      </c>
      <c r="K102" s="25">
        <f t="shared" si="20"/>
        <v>4.4035699060365883E-2</v>
      </c>
      <c r="L102" s="25">
        <f t="shared" si="21"/>
        <v>0.11306483100467576</v>
      </c>
      <c r="M102" s="66">
        <f t="shared" si="22"/>
        <v>4.3633963767159614</v>
      </c>
      <c r="N102" s="66">
        <f t="shared" si="23"/>
        <v>6.565181092001084</v>
      </c>
      <c r="O102" s="29">
        <f t="shared" si="14"/>
        <v>0.72979762511272406</v>
      </c>
      <c r="P102" s="29">
        <f t="shared" si="15"/>
        <v>1.1000000000000001</v>
      </c>
    </row>
    <row r="103" spans="1:16">
      <c r="A103" s="25">
        <f t="shared" si="24"/>
        <v>0.25919628000009165</v>
      </c>
      <c r="B103" s="25">
        <f t="shared" si="16"/>
        <v>0.26591455115668022</v>
      </c>
      <c r="C103" s="25">
        <f t="shared" si="10"/>
        <v>1.5209780750916289</v>
      </c>
      <c r="D103" s="25">
        <f t="shared" si="11"/>
        <v>0.17483128488927141</v>
      </c>
      <c r="E103" s="25">
        <f t="shared" si="9"/>
        <v>0.31266511824724802</v>
      </c>
      <c r="F103" s="25">
        <f t="shared" si="17"/>
        <v>7.5212130787892635</v>
      </c>
      <c r="G103" s="25">
        <f t="shared" si="12"/>
        <v>2.8832133627191983</v>
      </c>
      <c r="H103" s="25">
        <f t="shared" si="18"/>
        <v>3.14240964271929</v>
      </c>
      <c r="I103" s="24">
        <f t="shared" si="19"/>
        <v>1.2848775193679254</v>
      </c>
      <c r="J103" s="25">
        <f t="shared" si="13"/>
        <v>0.14813472809762765</v>
      </c>
      <c r="K103" s="25">
        <f t="shared" si="20"/>
        <v>0.10338016703900682</v>
      </c>
      <c r="L103" s="25">
        <f t="shared" si="21"/>
        <v>5.3720363026034834E-2</v>
      </c>
      <c r="M103" s="66">
        <f t="shared" si="22"/>
        <v>23.917886011775966</v>
      </c>
      <c r="N103" s="66">
        <f t="shared" si="23"/>
        <v>30.483067103777049</v>
      </c>
      <c r="O103" s="29">
        <f t="shared" si="14"/>
        <v>0.75167851584761525</v>
      </c>
      <c r="P103" s="29">
        <f t="shared" si="15"/>
        <v>1</v>
      </c>
    </row>
    <row r="106" spans="1:16" ht="15" customHeight="1">
      <c r="A106" s="370" t="s">
        <v>213</v>
      </c>
      <c r="B106" s="370" t="s">
        <v>233</v>
      </c>
      <c r="C106" s="370" t="s">
        <v>234</v>
      </c>
      <c r="D106" s="370" t="s">
        <v>235</v>
      </c>
    </row>
    <row r="107" spans="1:16">
      <c r="A107" s="371"/>
      <c r="B107" s="371"/>
      <c r="C107" s="371"/>
      <c r="D107" s="371"/>
    </row>
    <row r="108" spans="1:16">
      <c r="A108" s="207">
        <f>+N98</f>
        <v>0</v>
      </c>
      <c r="B108" s="29">
        <f t="shared" ref="B108:B113" si="25">+$C$81-N98*$C$82</f>
        <v>1090.0705291535774</v>
      </c>
      <c r="C108" s="29">
        <f>+B108+A98</f>
        <v>1090.8127201535779</v>
      </c>
      <c r="D108" s="29">
        <f>+B108+P98</f>
        <v>1091.4705291535774</v>
      </c>
    </row>
    <row r="109" spans="1:16">
      <c r="A109" s="207">
        <f>+N99</f>
        <v>9.6561911355652563E-2</v>
      </c>
      <c r="B109" s="29">
        <f t="shared" si="25"/>
        <v>1090.0553592261192</v>
      </c>
      <c r="C109" s="29">
        <f t="shared" ref="C109:C113" si="26">+B109+A99</f>
        <v>1090.7009512821196</v>
      </c>
      <c r="D109" s="29">
        <f t="shared" ref="D109:D113" si="27">+B109+P99</f>
        <v>1091.3553592261192</v>
      </c>
    </row>
    <row r="110" spans="1:16">
      <c r="A110" s="207">
        <f t="shared" ref="A110:A113" si="28">+N100</f>
        <v>0.65286559307393488</v>
      </c>
      <c r="B110" s="29">
        <f t="shared" si="25"/>
        <v>1089.9679636228443</v>
      </c>
      <c r="C110" s="29">
        <f t="shared" si="26"/>
        <v>1090.5169567348446</v>
      </c>
      <c r="D110" s="29">
        <f t="shared" si="27"/>
        <v>1091.2679636228443</v>
      </c>
    </row>
    <row r="111" spans="1:16">
      <c r="A111" s="207">
        <f t="shared" si="28"/>
        <v>2.2017847152851227</v>
      </c>
      <c r="B111" s="29">
        <f t="shared" si="25"/>
        <v>1089.7246276077169</v>
      </c>
      <c r="C111" s="29">
        <f t="shared" si="26"/>
        <v>1090.1770217757171</v>
      </c>
      <c r="D111" s="29">
        <f t="shared" si="27"/>
        <v>1090.924627607717</v>
      </c>
    </row>
    <row r="112" spans="1:16">
      <c r="A112" s="207">
        <f t="shared" si="28"/>
        <v>6.565181092001084</v>
      </c>
      <c r="B112" s="29">
        <f t="shared" si="25"/>
        <v>1089.039135724051</v>
      </c>
      <c r="C112" s="29">
        <f t="shared" si="26"/>
        <v>1089.3949309480511</v>
      </c>
      <c r="D112" s="29">
        <f t="shared" si="27"/>
        <v>1090.1391357240509</v>
      </c>
    </row>
    <row r="113" spans="1:4">
      <c r="A113" s="207">
        <f t="shared" si="28"/>
        <v>30.483067103777049</v>
      </c>
      <c r="B113" s="29">
        <f t="shared" si="25"/>
        <v>1085.2816231535658</v>
      </c>
      <c r="C113" s="29">
        <f t="shared" si="26"/>
        <v>1085.540819433566</v>
      </c>
      <c r="D113" s="29">
        <f t="shared" si="27"/>
        <v>1086.2816231535658</v>
      </c>
    </row>
    <row r="114" spans="1:4">
      <c r="A114" s="207">
        <f>+C80</f>
        <v>55</v>
      </c>
      <c r="B114" s="29">
        <f>+$C$81-C80*$C$82</f>
        <v>1081.43</v>
      </c>
      <c r="C114" s="29">
        <f>+B114+C92</f>
        <v>1081.6841140000001</v>
      </c>
      <c r="D114" s="29">
        <f>B114+P103</f>
        <v>1082.43</v>
      </c>
    </row>
    <row r="117" spans="1:4">
      <c r="A117" s="260" t="s">
        <v>236</v>
      </c>
      <c r="B117" s="288"/>
      <c r="C117" s="288"/>
      <c r="D117" s="261"/>
    </row>
    <row r="118" spans="1:4">
      <c r="A118" s="78" t="s">
        <v>72</v>
      </c>
      <c r="B118" s="28" t="s">
        <v>73</v>
      </c>
      <c r="C118" s="28" t="s">
        <v>43</v>
      </c>
      <c r="D118" s="28" t="s">
        <v>74</v>
      </c>
    </row>
    <row r="119" spans="1:4">
      <c r="A119" s="78">
        <v>1</v>
      </c>
      <c r="B119" s="117">
        <f>+B71</f>
        <v>-0.6</v>
      </c>
      <c r="C119" s="117">
        <f t="shared" ref="C119:D119" si="29">+C71</f>
        <v>39.5</v>
      </c>
      <c r="D119" s="117">
        <f t="shared" si="29"/>
        <v>1091.0705291535774</v>
      </c>
    </row>
    <row r="120" spans="1:4">
      <c r="A120" s="78">
        <v>2</v>
      </c>
      <c r="B120" s="117">
        <f t="shared" ref="B120:D122" si="30">+B72</f>
        <v>-0.5</v>
      </c>
      <c r="C120" s="117">
        <f t="shared" si="30"/>
        <v>39.5</v>
      </c>
      <c r="D120" s="117">
        <f t="shared" si="30"/>
        <v>1090.0705291535774</v>
      </c>
    </row>
    <row r="121" spans="1:4">
      <c r="A121" s="78">
        <v>3</v>
      </c>
      <c r="B121" s="117">
        <f t="shared" si="30"/>
        <v>0.5</v>
      </c>
      <c r="C121" s="117">
        <f t="shared" si="30"/>
        <v>39.5</v>
      </c>
      <c r="D121" s="117">
        <f t="shared" si="30"/>
        <v>1090.0705291535774</v>
      </c>
    </row>
    <row r="122" spans="1:4">
      <c r="A122" s="78">
        <v>4</v>
      </c>
      <c r="B122" s="117">
        <f t="shared" si="30"/>
        <v>0.6</v>
      </c>
      <c r="C122" s="117">
        <f t="shared" si="30"/>
        <v>39.5</v>
      </c>
      <c r="D122" s="117">
        <f t="shared" si="30"/>
        <v>1091.0705291535774</v>
      </c>
    </row>
    <row r="123" spans="1:4">
      <c r="A123" s="78">
        <v>5</v>
      </c>
      <c r="B123" s="117">
        <f>+B122</f>
        <v>0.6</v>
      </c>
      <c r="C123" s="118">
        <f>$C$122+$C$80</f>
        <v>94.5</v>
      </c>
      <c r="D123" s="117">
        <f>IF((D81+P103)&lt;M63,M63,D81+P103)</f>
        <v>1082.43</v>
      </c>
    </row>
    <row r="124" spans="1:4">
      <c r="A124" s="78">
        <v>6</v>
      </c>
      <c r="B124" s="117">
        <f>+B121</f>
        <v>0.5</v>
      </c>
      <c r="C124" s="118">
        <f t="shared" ref="C124:C126" si="31">$C$122+$C$80</f>
        <v>94.5</v>
      </c>
      <c r="D124" s="117">
        <f>+D81</f>
        <v>1081.43</v>
      </c>
    </row>
    <row r="125" spans="1:4">
      <c r="A125" s="78">
        <v>7</v>
      </c>
      <c r="B125" s="117">
        <f>+B120</f>
        <v>-0.5</v>
      </c>
      <c r="C125" s="118">
        <f t="shared" si="31"/>
        <v>94.5</v>
      </c>
      <c r="D125" s="117">
        <f>+D81</f>
        <v>1081.43</v>
      </c>
    </row>
    <row r="126" spans="1:4">
      <c r="A126" s="78">
        <v>8</v>
      </c>
      <c r="B126" s="117">
        <f>+B119</f>
        <v>-0.6</v>
      </c>
      <c r="C126" s="118">
        <f t="shared" si="31"/>
        <v>94.5</v>
      </c>
      <c r="D126" s="117">
        <f>+D123</f>
        <v>1082.43</v>
      </c>
    </row>
    <row r="129" spans="1:7" ht="18">
      <c r="A129" s="105" t="s">
        <v>237</v>
      </c>
    </row>
    <row r="130" spans="1:7">
      <c r="A130" s="373" t="s">
        <v>238</v>
      </c>
      <c r="B130" s="373"/>
      <c r="C130" s="373"/>
      <c r="D130" s="23">
        <f>+D81</f>
        <v>1081.43</v>
      </c>
    </row>
    <row r="131" spans="1:7">
      <c r="A131" s="373" t="s">
        <v>239</v>
      </c>
      <c r="B131" s="373"/>
      <c r="C131" s="373"/>
      <c r="D131" s="25">
        <f>+C92</f>
        <v>0.25411400000008993</v>
      </c>
    </row>
    <row r="132" spans="1:7">
      <c r="A132" s="373" t="s">
        <v>240</v>
      </c>
      <c r="B132" s="373"/>
      <c r="C132" s="373"/>
      <c r="D132" s="25">
        <f>+(C83+D38*D131)*D131</f>
        <v>0.26057139249969452</v>
      </c>
    </row>
    <row r="133" spans="1:7">
      <c r="A133" s="373" t="s">
        <v>241</v>
      </c>
      <c r="B133" s="373"/>
      <c r="C133" s="373"/>
      <c r="D133" s="25">
        <f>+C4/D132</f>
        <v>7.6754396590268241</v>
      </c>
    </row>
    <row r="134" spans="1:7">
      <c r="A134" s="373" t="s">
        <v>242</v>
      </c>
      <c r="B134" s="373"/>
      <c r="C134" s="373"/>
      <c r="D134" s="25">
        <f>+D130+D131+D133^2/(9.81*2)</f>
        <v>1084.6867834168891</v>
      </c>
    </row>
    <row r="135" spans="1:7" ht="28.5">
      <c r="A135" s="22" t="s">
        <v>243</v>
      </c>
      <c r="B135" s="22" t="s">
        <v>244</v>
      </c>
      <c r="C135" s="22" t="s">
        <v>245</v>
      </c>
      <c r="D135" s="28" t="s">
        <v>227</v>
      </c>
      <c r="E135" s="22" t="s">
        <v>246</v>
      </c>
      <c r="F135" s="355" t="s">
        <v>247</v>
      </c>
      <c r="G135" s="355"/>
    </row>
    <row r="136" spans="1:7">
      <c r="A136" s="130">
        <f>+D131</f>
        <v>0.25411400000008993</v>
      </c>
      <c r="B136" s="131">
        <f>+($C$83+$D$38*A136)*A136</f>
        <v>0.26057139249969452</v>
      </c>
      <c r="C136" s="131">
        <f>$C$37/B136</f>
        <v>7.6754396590268241</v>
      </c>
      <c r="D136" s="131">
        <f>+C136^2/(2*9.81)</f>
        <v>3.0026694168889807</v>
      </c>
      <c r="E136" s="131">
        <f>+A136+D136</f>
        <v>3.2567834168890708</v>
      </c>
      <c r="F136" s="35">
        <f>$D$134-E136</f>
        <v>1081.43</v>
      </c>
      <c r="G136" s="36"/>
    </row>
    <row r="137" spans="1:7">
      <c r="A137" s="130">
        <f>+A136*(0.9)</f>
        <v>0.22870260000008094</v>
      </c>
      <c r="B137" s="131">
        <f t="shared" ref="B137:B148" si="32">+($C$83+$D$38*A137)*A137</f>
        <v>0.23393308792476064</v>
      </c>
      <c r="C137" s="131">
        <f t="shared" ref="C137:C148" si="33">$C$37/B137</f>
        <v>8.5494532549549191</v>
      </c>
      <c r="D137" s="131">
        <f t="shared" ref="D137:D148" si="34">+C137^2/(2*9.81)</f>
        <v>3.7254409255178014</v>
      </c>
      <c r="E137" s="131">
        <f t="shared" ref="E137:E148" si="35">+A137+D137</f>
        <v>3.9541435255178823</v>
      </c>
      <c r="F137" s="35">
        <f t="shared" ref="F137:F148" si="36">$D$134-E137</f>
        <v>1080.7326398913713</v>
      </c>
      <c r="G137" s="36"/>
    </row>
    <row r="138" spans="1:7">
      <c r="A138" s="130">
        <f t="shared" ref="A138:A148" si="37">+A137*(0.9)</f>
        <v>0.20583234000007286</v>
      </c>
      <c r="B138" s="131">
        <f t="shared" si="32"/>
        <v>0.21006903521906345</v>
      </c>
      <c r="C138" s="131">
        <f t="shared" si="33"/>
        <v>9.520679703766751</v>
      </c>
      <c r="D138" s="131">
        <f t="shared" si="34"/>
        <v>4.6199460765400691</v>
      </c>
      <c r="E138" s="131">
        <f t="shared" si="35"/>
        <v>4.8257784165401416</v>
      </c>
      <c r="F138" s="35">
        <f t="shared" si="36"/>
        <v>1079.861005000349</v>
      </c>
      <c r="G138" s="36"/>
    </row>
    <row r="139" spans="1:7">
      <c r="A139" s="130">
        <f t="shared" si="37"/>
        <v>0.18524910600006558</v>
      </c>
      <c r="B139" s="131">
        <f t="shared" si="32"/>
        <v>0.18868082912744794</v>
      </c>
      <c r="C139" s="131">
        <f t="shared" si="33"/>
        <v>10.599911020366903</v>
      </c>
      <c r="D139" s="131">
        <f t="shared" si="34"/>
        <v>5.7267132334197619</v>
      </c>
      <c r="E139" s="131">
        <f t="shared" si="35"/>
        <v>5.9119623394198273</v>
      </c>
      <c r="F139" s="35">
        <f t="shared" si="36"/>
        <v>1078.7748210774691</v>
      </c>
      <c r="G139" s="36"/>
    </row>
    <row r="140" spans="1:7">
      <c r="A140" s="130">
        <f t="shared" si="37"/>
        <v>0.16672419540005903</v>
      </c>
      <c r="B140" s="131">
        <f t="shared" si="32"/>
        <v>0.16950389113323874</v>
      </c>
      <c r="C140" s="131">
        <f t="shared" si="33"/>
        <v>11.799139162108659</v>
      </c>
      <c r="D140" s="131">
        <f t="shared" si="34"/>
        <v>7.0958045344957297</v>
      </c>
      <c r="E140" s="131">
        <f t="shared" si="35"/>
        <v>7.2625287298957888</v>
      </c>
      <c r="F140" s="35">
        <f t="shared" si="36"/>
        <v>1077.4242546869932</v>
      </c>
      <c r="G140" s="36"/>
    </row>
    <row r="141" spans="1:7">
      <c r="A141" s="130">
        <f t="shared" si="37"/>
        <v>0.15005177586005314</v>
      </c>
      <c r="B141" s="131">
        <f t="shared" si="32"/>
        <v>0.15230332940392871</v>
      </c>
      <c r="C141" s="131">
        <f t="shared" si="33"/>
        <v>13.131689292856715</v>
      </c>
      <c r="D141" s="131">
        <f t="shared" si="34"/>
        <v>8.7890552336456516</v>
      </c>
      <c r="E141" s="131">
        <f t="shared" si="35"/>
        <v>8.9391070095057046</v>
      </c>
      <c r="F141" s="35">
        <f t="shared" si="36"/>
        <v>1075.7476764073833</v>
      </c>
      <c r="G141" s="36"/>
    </row>
    <row r="142" spans="1:7">
      <c r="A142" s="130">
        <f t="shared" si="37"/>
        <v>0.13504659827404783</v>
      </c>
      <c r="B142" s="131">
        <f t="shared" si="32"/>
        <v>0.13687035664458702</v>
      </c>
      <c r="C142" s="131">
        <f t="shared" si="33"/>
        <v>14.612367856930666</v>
      </c>
      <c r="D142" s="131">
        <f t="shared" si="34"/>
        <v>10.88283865373397</v>
      </c>
      <c r="E142" s="131">
        <f t="shared" si="35"/>
        <v>11.017885252008018</v>
      </c>
      <c r="F142" s="35">
        <f t="shared" si="36"/>
        <v>1073.6688981648811</v>
      </c>
      <c r="G142" s="36"/>
    </row>
    <row r="143" spans="1:7">
      <c r="A143" s="130">
        <f t="shared" si="37"/>
        <v>0.12154193844664304</v>
      </c>
      <c r="B143" s="131">
        <f t="shared" si="32"/>
        <v>0.12301918272677981</v>
      </c>
      <c r="C143" s="131">
        <f t="shared" si="33"/>
        <v>16.257627108789301</v>
      </c>
      <c r="D143" s="131">
        <f t="shared" si="34"/>
        <v>13.471480081979651</v>
      </c>
      <c r="E143" s="131">
        <f t="shared" si="35"/>
        <v>13.593022020426295</v>
      </c>
      <c r="F143" s="35">
        <f t="shared" si="36"/>
        <v>1071.0937613964627</v>
      </c>
      <c r="G143" s="36"/>
    </row>
    <row r="144" spans="1:7">
      <c r="A144" s="130">
        <f t="shared" si="37"/>
        <v>0.10938774460197874</v>
      </c>
      <c r="B144" s="131">
        <f t="shared" si="32"/>
        <v>0.11058431246888951</v>
      </c>
      <c r="C144" s="131">
        <f t="shared" si="33"/>
        <v>18.085747927063853</v>
      </c>
      <c r="D144" s="131">
        <f t="shared" si="34"/>
        <v>16.671471869586874</v>
      </c>
      <c r="E144" s="131">
        <f t="shared" si="35"/>
        <v>16.780859614188852</v>
      </c>
      <c r="F144" s="35">
        <f t="shared" si="36"/>
        <v>1067.9059238027003</v>
      </c>
      <c r="G144" s="36"/>
    </row>
    <row r="145" spans="1:25">
      <c r="A145" s="130">
        <f t="shared" si="37"/>
        <v>9.8448970141780862E-2</v>
      </c>
      <c r="B145" s="131">
        <f t="shared" si="32"/>
        <v>9.941819011397858E-2</v>
      </c>
      <c r="C145" s="131">
        <f t="shared" si="33"/>
        <v>20.117042944627016</v>
      </c>
      <c r="D145" s="131">
        <f t="shared" si="34"/>
        <v>20.626677718448907</v>
      </c>
      <c r="E145" s="131">
        <f t="shared" si="35"/>
        <v>20.725126688590688</v>
      </c>
      <c r="F145" s="35">
        <f t="shared" si="36"/>
        <v>1063.9616567282983</v>
      </c>
      <c r="G145" s="36"/>
    </row>
    <row r="146" spans="1:25">
      <c r="A146" s="130">
        <f t="shared" si="37"/>
        <v>8.8604073127602781E-2</v>
      </c>
      <c r="B146" s="131">
        <f t="shared" si="32"/>
        <v>8.9389141305082936E-2</v>
      </c>
      <c r="C146" s="131">
        <f t="shared" si="33"/>
        <v>22.37408225204949</v>
      </c>
      <c r="D146" s="131">
        <f t="shared" si="34"/>
        <v>25.514758237587969</v>
      </c>
      <c r="E146" s="131">
        <f t="shared" si="35"/>
        <v>25.603362310715571</v>
      </c>
      <c r="F146" s="35">
        <f t="shared" si="36"/>
        <v>1059.0834211061735</v>
      </c>
      <c r="G146" s="36"/>
    </row>
    <row r="147" spans="1:25">
      <c r="A147" s="130">
        <f t="shared" si="37"/>
        <v>7.9743665814842504E-2</v>
      </c>
      <c r="B147" s="131">
        <f t="shared" si="32"/>
        <v>8.0379571038601424E-2</v>
      </c>
      <c r="C147" s="131">
        <f t="shared" si="33"/>
        <v>24.881944182552573</v>
      </c>
      <c r="D147" s="131">
        <f t="shared" si="34"/>
        <v>31.555104296822723</v>
      </c>
      <c r="E147" s="131">
        <f t="shared" si="35"/>
        <v>31.634847962637565</v>
      </c>
      <c r="F147" s="35">
        <f t="shared" si="36"/>
        <v>1053.0519354542514</v>
      </c>
      <c r="G147" s="36"/>
    </row>
    <row r="148" spans="1:25">
      <c r="A148" s="130">
        <f t="shared" si="37"/>
        <v>7.1769299233358258E-2</v>
      </c>
      <c r="B148" s="131">
        <f t="shared" si="32"/>
        <v>7.2284382464602989E-2</v>
      </c>
      <c r="C148" s="131">
        <f t="shared" si="33"/>
        <v>27.668493965198941</v>
      </c>
      <c r="D148" s="131">
        <f t="shared" si="34"/>
        <v>39.018631921623353</v>
      </c>
      <c r="E148" s="131">
        <f t="shared" si="35"/>
        <v>39.090401220856712</v>
      </c>
      <c r="F148" s="35">
        <f t="shared" si="36"/>
        <v>1045.5963821960324</v>
      </c>
      <c r="G148" s="36"/>
    </row>
    <row r="150" spans="1:25" ht="29.25">
      <c r="A150" s="105" t="s">
        <v>248</v>
      </c>
      <c r="K150" s="132" t="s">
        <v>249</v>
      </c>
    </row>
    <row r="151" spans="1:25" ht="46.5" customHeight="1">
      <c r="A151" s="372" t="s">
        <v>250</v>
      </c>
      <c r="B151" s="372"/>
      <c r="C151" s="372"/>
      <c r="D151" s="25">
        <f>L51</f>
        <v>1.1751025035719314</v>
      </c>
    </row>
    <row r="152" spans="1:25" ht="15">
      <c r="A152" s="373" t="s">
        <v>251</v>
      </c>
      <c r="B152" s="373"/>
      <c r="C152" s="373"/>
      <c r="D152" s="25">
        <f>+D9</f>
        <v>1078.71</v>
      </c>
      <c r="P152" s="367" t="s">
        <v>252</v>
      </c>
      <c r="Q152" s="367"/>
      <c r="R152" s="367"/>
      <c r="S152" s="367"/>
      <c r="T152" s="367"/>
      <c r="U152" s="367"/>
      <c r="V152" s="367"/>
      <c r="W152" s="367"/>
      <c r="X152" s="367"/>
      <c r="Y152" s="367"/>
    </row>
    <row r="153" spans="1:25">
      <c r="A153" s="373" t="s">
        <v>242</v>
      </c>
      <c r="B153" s="373"/>
      <c r="C153" s="373"/>
      <c r="D153" s="25">
        <f>+D152+D151</f>
        <v>1079.8851025035719</v>
      </c>
    </row>
    <row r="154" spans="1:25" ht="28.5">
      <c r="A154" s="22" t="s">
        <v>253</v>
      </c>
      <c r="B154" s="22" t="s">
        <v>254</v>
      </c>
      <c r="C154" s="22" t="s">
        <v>245</v>
      </c>
      <c r="D154" s="32" t="s">
        <v>227</v>
      </c>
      <c r="E154" s="22" t="s">
        <v>246</v>
      </c>
      <c r="F154" s="355" t="s">
        <v>247</v>
      </c>
      <c r="G154" s="355"/>
      <c r="P154" s="23" t="s">
        <v>255</v>
      </c>
      <c r="Q154" s="260" t="s">
        <v>256</v>
      </c>
      <c r="R154" s="261"/>
      <c r="S154" s="260" t="s">
        <v>257</v>
      </c>
      <c r="T154" s="261"/>
      <c r="V154" s="302" t="s">
        <v>256</v>
      </c>
      <c r="W154" s="302"/>
      <c r="X154" s="302" t="s">
        <v>257</v>
      </c>
      <c r="Y154" s="302"/>
    </row>
    <row r="155" spans="1:25">
      <c r="A155" s="130">
        <f>+A148</f>
        <v>7.1769299233358258E-2</v>
      </c>
      <c r="B155" s="25">
        <v>3.0358200000114208</v>
      </c>
      <c r="C155" s="71">
        <f>+$C$4/($L$39+$L$38*B155)</f>
        <v>1.5342341333328073</v>
      </c>
      <c r="D155" s="71">
        <f>+C155^2/(2*9.81)</f>
        <v>0.11997320977999339</v>
      </c>
      <c r="E155" s="25">
        <f>+D155+B155</f>
        <v>3.1557932097914141</v>
      </c>
      <c r="F155" s="133">
        <f>+$D$153-E155</f>
        <v>1076.7293092937805</v>
      </c>
      <c r="G155" s="128"/>
      <c r="P155" s="25">
        <f t="shared" ref="P155:P167" si="38">ABS(T155-R155)</f>
        <v>31.132927097748052</v>
      </c>
      <c r="Q155" s="25">
        <f>+A155</f>
        <v>7.1769299233358258E-2</v>
      </c>
      <c r="R155" s="25">
        <f t="shared" ref="R155:R167" si="39">+F155</f>
        <v>1076.7293092937805</v>
      </c>
      <c r="S155" s="25">
        <f>+A148</f>
        <v>7.1769299233358258E-2</v>
      </c>
      <c r="T155" s="25">
        <f>+F148</f>
        <v>1045.5963821960324</v>
      </c>
      <c r="V155" s="25">
        <f>+VLOOKUP($P168,Curva,2,FALSE)</f>
        <v>0.16672419540005903</v>
      </c>
      <c r="W155" s="25">
        <f>+VLOOKUP($P$168,Curva,3,FALSE)</f>
        <v>1077.746560202216</v>
      </c>
      <c r="X155" s="25">
        <f>+VLOOKUP($P$168,Curva,4,FALSE)</f>
        <v>0.16672419540005903</v>
      </c>
      <c r="Y155" s="25">
        <f>+VLOOKUP($P$168,Curva,5,FALSE)</f>
        <v>1077.4242546869932</v>
      </c>
    </row>
    <row r="156" spans="1:25">
      <c r="A156" s="130">
        <f>+A147</f>
        <v>7.9743665814842504E-2</v>
      </c>
      <c r="B156" s="25">
        <v>2.8862900000104412</v>
      </c>
      <c r="C156" s="71">
        <f t="shared" ref="C156:C167" si="40">+$C$4/($L$39+$L$38*B156)</f>
        <v>1.5520370874769849</v>
      </c>
      <c r="D156" s="71">
        <f t="shared" ref="D156:D167" si="41">+C156^2/(2*9.81)</f>
        <v>0.12277365549969634</v>
      </c>
      <c r="E156" s="25">
        <f t="shared" ref="E156:E167" si="42">+D156+B156</f>
        <v>3.0090636555101375</v>
      </c>
      <c r="F156" s="35">
        <f t="shared" ref="F156:F167" si="43">+$D$153-E156</f>
        <v>1076.8760388480619</v>
      </c>
      <c r="G156" s="36"/>
      <c r="P156" s="25">
        <f t="shared" si="38"/>
        <v>23.824103393810447</v>
      </c>
      <c r="Q156" s="25">
        <f t="shared" ref="Q156:Q167" si="44">+A156</f>
        <v>7.9743665814842504E-2</v>
      </c>
      <c r="R156" s="25">
        <f t="shared" si="39"/>
        <v>1076.8760388480619</v>
      </c>
      <c r="S156" s="25">
        <f>+A147</f>
        <v>7.9743665814842504E-2</v>
      </c>
      <c r="T156" s="25">
        <f>+F147</f>
        <v>1053.0519354542514</v>
      </c>
      <c r="V156" s="25">
        <f>+VLOOKUP($P$169,Curva,2,FALSE)</f>
        <v>0.18524910600006558</v>
      </c>
      <c r="W156" s="25">
        <f>+VLOOKUP($P$169,Curva,3,FALSE)</f>
        <v>1077.8505503616689</v>
      </c>
      <c r="X156" s="25">
        <f>+VLOOKUP($P$169,Curva,4,FALSE)</f>
        <v>0.18524910600006558</v>
      </c>
      <c r="Y156" s="25">
        <f>+VLOOKUP($P$169,Curva,5,FALSE)</f>
        <v>1078.7748210774691</v>
      </c>
    </row>
    <row r="157" spans="1:25">
      <c r="A157" s="130">
        <f>+A146</f>
        <v>8.8604073127602781E-2</v>
      </c>
      <c r="B157" s="25">
        <v>2.7428800000095017</v>
      </c>
      <c r="C157" s="71">
        <f t="shared" si="40"/>
        <v>1.5695039112025764</v>
      </c>
      <c r="D157" s="71">
        <f t="shared" si="41"/>
        <v>0.12555262626300634</v>
      </c>
      <c r="E157" s="25">
        <f t="shared" si="42"/>
        <v>2.8684326262725079</v>
      </c>
      <c r="F157" s="135">
        <f t="shared" si="43"/>
        <v>1077.0166698772994</v>
      </c>
      <c r="G157" s="82"/>
      <c r="P157" s="25">
        <f t="shared" si="38"/>
        <v>17.933248771125818</v>
      </c>
      <c r="Q157" s="25">
        <f t="shared" si="44"/>
        <v>8.8604073127602781E-2</v>
      </c>
      <c r="R157" s="25">
        <f t="shared" si="39"/>
        <v>1077.0166698772994</v>
      </c>
      <c r="S157" s="25">
        <f>+A146</f>
        <v>8.8604073127602781E-2</v>
      </c>
      <c r="T157" s="25">
        <f>+F146</f>
        <v>1059.0834211061735</v>
      </c>
      <c r="V157" s="23" t="s">
        <v>44</v>
      </c>
      <c r="W157" s="25">
        <f>+(V156-V155)/(W156-W155)</f>
        <v>0.17814099620066454</v>
      </c>
      <c r="X157" s="23" t="s">
        <v>44</v>
      </c>
      <c r="Y157" s="25">
        <f>+(X156-X155)/(Y156-Y155)</f>
        <v>1.3716401304402711E-2</v>
      </c>
    </row>
    <row r="158" spans="1:25">
      <c r="A158" s="130">
        <f>+A145</f>
        <v>9.8448970141780862E-2</v>
      </c>
      <c r="B158" s="25">
        <v>2.6052900000086003</v>
      </c>
      <c r="C158" s="71">
        <f t="shared" si="40"/>
        <v>1.5866354522574535</v>
      </c>
      <c r="D158" s="71">
        <f t="shared" si="41"/>
        <v>0.12830846372885901</v>
      </c>
      <c r="E158" s="25">
        <f t="shared" si="42"/>
        <v>2.7335984637374593</v>
      </c>
      <c r="F158" s="35">
        <f t="shared" si="43"/>
        <v>1077.1515040398344</v>
      </c>
      <c r="G158" s="36"/>
      <c r="P158" s="25">
        <f t="shared" si="38"/>
        <v>13.189847311536141</v>
      </c>
      <c r="Q158" s="25">
        <f t="shared" si="44"/>
        <v>9.8448970141780862E-2</v>
      </c>
      <c r="R158" s="25">
        <f t="shared" si="39"/>
        <v>1077.1515040398344</v>
      </c>
      <c r="S158" s="25">
        <f>+A145</f>
        <v>9.8448970141780862E-2</v>
      </c>
      <c r="T158" s="25">
        <f>+F145</f>
        <v>1063.9616567282983</v>
      </c>
      <c r="V158" s="23" t="s">
        <v>133</v>
      </c>
      <c r="W158" s="25">
        <f>+V156-W157*W156</f>
        <v>-191.82412169086217</v>
      </c>
      <c r="X158" s="23" t="s">
        <v>133</v>
      </c>
      <c r="Y158" s="25">
        <f>+X156-Y157*Y156</f>
        <v>-14.611659256983733</v>
      </c>
    </row>
    <row r="159" spans="1:25" ht="15">
      <c r="A159" s="130">
        <f>+A144</f>
        <v>0.10938774460197874</v>
      </c>
      <c r="B159" s="25">
        <v>2.4732800000077355</v>
      </c>
      <c r="C159" s="71">
        <f t="shared" si="40"/>
        <v>1.6034274865943519</v>
      </c>
      <c r="D159" s="71">
        <f t="shared" si="41"/>
        <v>0.13103872093609992</v>
      </c>
      <c r="E159" s="25">
        <f t="shared" si="42"/>
        <v>2.6043187209438354</v>
      </c>
      <c r="F159" s="135">
        <f t="shared" si="43"/>
        <v>1077.2807837826281</v>
      </c>
      <c r="G159" s="82"/>
      <c r="P159" s="25">
        <f t="shared" si="38"/>
        <v>9.3748599799278054</v>
      </c>
      <c r="Q159" s="25">
        <f t="shared" si="44"/>
        <v>0.10938774460197874</v>
      </c>
      <c r="R159" s="25">
        <f t="shared" si="39"/>
        <v>1077.2807837826281</v>
      </c>
      <c r="S159" s="25">
        <f>+A144</f>
        <v>0.10938774460197874</v>
      </c>
      <c r="T159" s="25">
        <f>+F144</f>
        <v>1067.9059238027003</v>
      </c>
      <c r="V159" s="316" t="s">
        <v>258</v>
      </c>
      <c r="W159" s="316"/>
    </row>
    <row r="160" spans="1:25">
      <c r="A160" s="130">
        <f>+A143</f>
        <v>0.12154193844664304</v>
      </c>
      <c r="B160" s="25">
        <v>2.3466000000069056</v>
      </c>
      <c r="C160" s="71">
        <f t="shared" si="40"/>
        <v>1.6198791570139806</v>
      </c>
      <c r="D160" s="71">
        <f t="shared" si="41"/>
        <v>0.13374151291173925</v>
      </c>
      <c r="E160" s="25">
        <f t="shared" si="42"/>
        <v>2.480341512918645</v>
      </c>
      <c r="F160" s="35">
        <f t="shared" si="43"/>
        <v>1077.4047609906534</v>
      </c>
      <c r="G160" s="36"/>
      <c r="P160" s="25">
        <f t="shared" si="38"/>
        <v>6.3109995941906618</v>
      </c>
      <c r="Q160" s="25">
        <f t="shared" si="44"/>
        <v>0.12154193844664304</v>
      </c>
      <c r="R160" s="25">
        <f t="shared" si="39"/>
        <v>1077.4047609906534</v>
      </c>
      <c r="S160" s="25">
        <f>+A143</f>
        <v>0.12154193844664304</v>
      </c>
      <c r="T160" s="25">
        <f>+F143</f>
        <v>1071.0937613964627</v>
      </c>
      <c r="V160" s="28" t="s">
        <v>73</v>
      </c>
      <c r="W160" s="25">
        <f>+(W158-Y158)/(Y157-W157)</f>
        <v>1077.7734471274489</v>
      </c>
    </row>
    <row r="161" spans="1:23">
      <c r="A161" s="130">
        <f>+A142</f>
        <v>0.13504659827404783</v>
      </c>
      <c r="B161" s="25">
        <v>2.2250500000061093</v>
      </c>
      <c r="C161" s="71">
        <f t="shared" si="40"/>
        <v>1.6359851288943608</v>
      </c>
      <c r="D161" s="71">
        <f t="shared" si="41"/>
        <v>0.13641423761281846</v>
      </c>
      <c r="E161" s="25">
        <f t="shared" si="42"/>
        <v>2.3614642376189279</v>
      </c>
      <c r="F161" s="135">
        <f t="shared" si="43"/>
        <v>1077.523638265953</v>
      </c>
      <c r="G161" s="82"/>
      <c r="P161" s="25">
        <f t="shared" si="38"/>
        <v>3.8547401010719113</v>
      </c>
      <c r="Q161" s="25">
        <f t="shared" si="44"/>
        <v>0.13504659827404783</v>
      </c>
      <c r="R161" s="25">
        <f t="shared" si="39"/>
        <v>1077.523638265953</v>
      </c>
      <c r="S161" s="25">
        <f>+A142</f>
        <v>0.13504659827404783</v>
      </c>
      <c r="T161" s="25">
        <f>+F142</f>
        <v>1073.6688981648811</v>
      </c>
      <c r="V161" s="28" t="s">
        <v>43</v>
      </c>
      <c r="W161" s="25">
        <f>+W157*W160+W158</f>
        <v>0.17151385904583094</v>
      </c>
    </row>
    <row r="162" spans="1:23">
      <c r="A162" s="130">
        <f>+A141</f>
        <v>0.15005177586005314</v>
      </c>
      <c r="B162" s="25">
        <v>2.1084900000053457</v>
      </c>
      <c r="C162" s="71">
        <f t="shared" si="40"/>
        <v>1.6517336183117111</v>
      </c>
      <c r="D162" s="71">
        <f t="shared" si="41"/>
        <v>0.13905320824980108</v>
      </c>
      <c r="E162" s="25">
        <f t="shared" si="42"/>
        <v>2.2475432082551468</v>
      </c>
      <c r="F162" s="35">
        <f t="shared" si="43"/>
        <v>1077.6375592953168</v>
      </c>
      <c r="G162" s="36"/>
      <c r="P162" s="25">
        <f t="shared" si="38"/>
        <v>1.8898828879334815</v>
      </c>
      <c r="Q162" s="25">
        <f t="shared" si="44"/>
        <v>0.15005177586005314</v>
      </c>
      <c r="R162" s="25">
        <f t="shared" si="39"/>
        <v>1077.6375592953168</v>
      </c>
      <c r="S162" s="25">
        <f>+A141</f>
        <v>0.15005177586005314</v>
      </c>
      <c r="T162" s="25">
        <f>+F141</f>
        <v>1075.7476764073833</v>
      </c>
    </row>
    <row r="163" spans="1:23">
      <c r="A163" s="130">
        <f>+A140</f>
        <v>0.16672419540005903</v>
      </c>
      <c r="B163" s="25">
        <v>1.9968900000046146</v>
      </c>
      <c r="C163" s="71">
        <f t="shared" si="40"/>
        <v>1.6670987230850918</v>
      </c>
      <c r="D163" s="71">
        <f t="shared" si="41"/>
        <v>0.14165230135127133</v>
      </c>
      <c r="E163" s="25">
        <f t="shared" si="42"/>
        <v>2.1385423013558857</v>
      </c>
      <c r="F163" s="135">
        <f t="shared" si="43"/>
        <v>1077.746560202216</v>
      </c>
      <c r="G163" s="82"/>
      <c r="P163" s="25">
        <f t="shared" si="38"/>
        <v>0.32230551522275164</v>
      </c>
      <c r="Q163" s="25">
        <f t="shared" si="44"/>
        <v>0.16672419540005903</v>
      </c>
      <c r="R163" s="25">
        <f t="shared" si="39"/>
        <v>1077.746560202216</v>
      </c>
      <c r="S163" s="25">
        <f>+A140</f>
        <v>0.16672419540005903</v>
      </c>
      <c r="T163" s="25">
        <f>+F140</f>
        <v>1077.4242546869932</v>
      </c>
    </row>
    <row r="164" spans="1:23">
      <c r="A164" s="130">
        <f>+A139</f>
        <v>0.18524910600006558</v>
      </c>
      <c r="B164" s="25">
        <v>1.8903500000039166</v>
      </c>
      <c r="C164" s="71">
        <f t="shared" si="40"/>
        <v>1.6820362731116756</v>
      </c>
      <c r="D164" s="71">
        <f t="shared" si="41"/>
        <v>0.14420214189925662</v>
      </c>
      <c r="E164" s="25">
        <f t="shared" si="42"/>
        <v>2.0345521419031734</v>
      </c>
      <c r="F164" s="35">
        <f t="shared" si="43"/>
        <v>1077.8505503616689</v>
      </c>
      <c r="G164" s="36"/>
      <c r="P164" s="25">
        <f t="shared" si="38"/>
        <v>0.92427071580027587</v>
      </c>
      <c r="Q164" s="25">
        <f t="shared" si="44"/>
        <v>0.18524910600006558</v>
      </c>
      <c r="R164" s="25">
        <f t="shared" si="39"/>
        <v>1077.8505503616689</v>
      </c>
      <c r="S164" s="25">
        <f>+A139</f>
        <v>0.18524910600006558</v>
      </c>
      <c r="T164" s="25">
        <f>+F139</f>
        <v>1078.7748210774691</v>
      </c>
    </row>
    <row r="165" spans="1:23">
      <c r="A165" s="130">
        <f>+A138</f>
        <v>0.20583234000007286</v>
      </c>
      <c r="B165" s="25">
        <v>1.7892400000032542</v>
      </c>
      <c r="C165" s="71">
        <f t="shared" si="40"/>
        <v>1.6964621977323797</v>
      </c>
      <c r="D165" s="71">
        <f t="shared" si="41"/>
        <v>0.14668623793756247</v>
      </c>
      <c r="E165" s="25">
        <f t="shared" si="42"/>
        <v>1.9359262379408166</v>
      </c>
      <c r="F165" s="135">
        <f t="shared" si="43"/>
        <v>1077.9491762656312</v>
      </c>
      <c r="G165" s="82"/>
      <c r="P165" s="25">
        <f t="shared" si="38"/>
        <v>1.9118287347178011</v>
      </c>
      <c r="Q165" s="25">
        <f t="shared" si="44"/>
        <v>0.20583234000007286</v>
      </c>
      <c r="R165" s="25">
        <f t="shared" si="39"/>
        <v>1077.9491762656312</v>
      </c>
      <c r="S165" s="25">
        <f>+A138</f>
        <v>0.20583234000007286</v>
      </c>
      <c r="T165" s="25">
        <f>+F138</f>
        <v>1079.861005000349</v>
      </c>
    </row>
    <row r="166" spans="1:23">
      <c r="A166" s="130">
        <f>+A137</f>
        <v>0.22870260000008094</v>
      </c>
      <c r="B166" s="25">
        <v>1.6943200000026324</v>
      </c>
      <c r="C166" s="71">
        <f t="shared" si="40"/>
        <v>1.7102319758648212</v>
      </c>
      <c r="D166" s="71">
        <f t="shared" si="41"/>
        <v>0.14907713615038176</v>
      </c>
      <c r="E166" s="25">
        <f t="shared" si="42"/>
        <v>1.8433971361530141</v>
      </c>
      <c r="F166" s="35">
        <f t="shared" si="43"/>
        <v>1078.0417053674189</v>
      </c>
      <c r="G166" s="36"/>
      <c r="P166" s="25">
        <f t="shared" si="38"/>
        <v>2.6909345239523645</v>
      </c>
      <c r="Q166" s="25">
        <f t="shared" si="44"/>
        <v>0.22870260000008094</v>
      </c>
      <c r="R166" s="25">
        <f t="shared" si="39"/>
        <v>1078.0417053674189</v>
      </c>
      <c r="S166" s="25">
        <f>+A137</f>
        <v>0.22870260000008094</v>
      </c>
      <c r="T166" s="25">
        <f>+F137</f>
        <v>1080.7326398913713</v>
      </c>
    </row>
    <row r="167" spans="1:23">
      <c r="A167" s="130">
        <f>+A136</f>
        <v>0.25411400000008993</v>
      </c>
      <c r="B167" s="25">
        <v>1.6069400000020599</v>
      </c>
      <c r="C167" s="71">
        <f t="shared" si="40"/>
        <v>1.7231070376857682</v>
      </c>
      <c r="D167" s="71">
        <f t="shared" si="41"/>
        <v>0.15133016632631108</v>
      </c>
      <c r="E167" s="25">
        <f t="shared" si="42"/>
        <v>1.7582701663283711</v>
      </c>
      <c r="F167" s="136">
        <f t="shared" si="43"/>
        <v>1078.1268323372435</v>
      </c>
      <c r="G167" s="80"/>
      <c r="P167" s="25">
        <f t="shared" si="38"/>
        <v>3.3031676627565503</v>
      </c>
      <c r="Q167" s="25">
        <f t="shared" si="44"/>
        <v>0.25411400000008993</v>
      </c>
      <c r="R167" s="25">
        <f t="shared" si="39"/>
        <v>1078.1268323372435</v>
      </c>
      <c r="S167" s="25">
        <f>+A136</f>
        <v>0.25411400000008993</v>
      </c>
      <c r="T167" s="25">
        <f>+F136</f>
        <v>1081.43</v>
      </c>
    </row>
    <row r="168" spans="1:23">
      <c r="P168" s="25">
        <f>+MIN(P155:P167)</f>
        <v>0.32230551522275164</v>
      </c>
    </row>
    <row r="169" spans="1:23">
      <c r="J169" s="70"/>
      <c r="P169" s="25">
        <f>SMALL(P155:P167,2)</f>
        <v>0.92427071580027587</v>
      </c>
    </row>
    <row r="170" spans="1:23" ht="30" customHeight="1">
      <c r="A170" s="270" t="s">
        <v>259</v>
      </c>
      <c r="B170" s="270"/>
      <c r="C170" s="270"/>
      <c r="D170" s="39">
        <f>+D125</f>
        <v>1081.43</v>
      </c>
      <c r="J170" s="70"/>
    </row>
    <row r="171" spans="1:23" ht="30" customHeight="1">
      <c r="A171" s="355" t="s">
        <v>260</v>
      </c>
      <c r="B171" s="355"/>
      <c r="C171" s="355"/>
      <c r="D171" s="39">
        <f>+W160</f>
        <v>1077.7734471274489</v>
      </c>
      <c r="J171" s="70"/>
    </row>
    <row r="172" spans="1:23" ht="15.75" customHeight="1">
      <c r="A172" s="355" t="s">
        <v>261</v>
      </c>
      <c r="B172" s="355"/>
      <c r="C172" s="355"/>
      <c r="D172" s="39">
        <v>7.993000000001004</v>
      </c>
      <c r="J172" s="70"/>
    </row>
    <row r="173" spans="1:23">
      <c r="A173" s="70"/>
      <c r="B173" s="70"/>
      <c r="D173" s="70"/>
      <c r="E173" s="70"/>
      <c r="F173" s="70"/>
      <c r="G173" s="70"/>
      <c r="J173" s="70"/>
    </row>
    <row r="174" spans="1:23">
      <c r="A174" s="302" t="s">
        <v>262</v>
      </c>
      <c r="B174" s="302"/>
      <c r="C174" s="302"/>
      <c r="D174" s="302"/>
      <c r="E174" s="70"/>
      <c r="F174" s="70"/>
      <c r="G174" s="70"/>
      <c r="J174" s="70"/>
    </row>
    <row r="175" spans="1:23">
      <c r="A175" s="52" t="s">
        <v>72</v>
      </c>
      <c r="B175" s="28" t="s">
        <v>73</v>
      </c>
      <c r="C175" s="28" t="s">
        <v>43</v>
      </c>
      <c r="D175" s="28" t="s">
        <v>74</v>
      </c>
      <c r="E175" s="70"/>
      <c r="F175" s="70"/>
      <c r="G175" s="70"/>
      <c r="J175" s="70"/>
    </row>
    <row r="176" spans="1:23">
      <c r="A176" s="206">
        <v>1</v>
      </c>
      <c r="B176" s="25">
        <f>+B119</f>
        <v>-0.6</v>
      </c>
      <c r="C176" s="29">
        <f>+C126</f>
        <v>94.5</v>
      </c>
      <c r="D176" s="29">
        <f>+D123</f>
        <v>1082.43</v>
      </c>
      <c r="E176" s="70"/>
      <c r="F176" s="72"/>
      <c r="G176" s="70"/>
      <c r="J176" s="70"/>
    </row>
    <row r="177" spans="1:10">
      <c r="A177" s="206">
        <v>2</v>
      </c>
      <c r="B177" s="25">
        <f t="shared" ref="B177:B179" si="45">+B120</f>
        <v>-0.5</v>
      </c>
      <c r="C177" s="29">
        <f>+C176</f>
        <v>94.5</v>
      </c>
      <c r="D177" s="29">
        <f>+D124</f>
        <v>1081.43</v>
      </c>
      <c r="E177" s="70"/>
      <c r="F177" s="70"/>
      <c r="G177" s="70"/>
      <c r="J177" s="70"/>
    </row>
    <row r="178" spans="1:10">
      <c r="A178" s="206">
        <v>3</v>
      </c>
      <c r="B178" s="25">
        <f t="shared" si="45"/>
        <v>0.5</v>
      </c>
      <c r="C178" s="29">
        <f>+C177</f>
        <v>94.5</v>
      </c>
      <c r="D178" s="29">
        <f t="shared" ref="D178:D179" si="46">+D125</f>
        <v>1081.43</v>
      </c>
      <c r="E178" s="70"/>
      <c r="F178" s="70"/>
      <c r="G178" s="70"/>
      <c r="J178" s="70"/>
    </row>
    <row r="179" spans="1:10">
      <c r="A179" s="206">
        <v>4</v>
      </c>
      <c r="B179" s="25">
        <f t="shared" si="45"/>
        <v>0.6</v>
      </c>
      <c r="C179" s="29">
        <f>+C178</f>
        <v>94.5</v>
      </c>
      <c r="D179" s="29">
        <f t="shared" si="46"/>
        <v>1082.43</v>
      </c>
      <c r="E179" s="70"/>
      <c r="F179" s="70"/>
      <c r="G179" s="70"/>
      <c r="J179" s="70"/>
    </row>
    <row r="180" spans="1:10">
      <c r="A180" s="206">
        <v>5</v>
      </c>
      <c r="B180" s="25">
        <f>+B179</f>
        <v>0.6</v>
      </c>
      <c r="C180" s="29">
        <f>+$C$179+$D$172*0.1</f>
        <v>95.299300000000102</v>
      </c>
      <c r="D180" s="29">
        <f>IF(D181+P103&lt;M63,M63,D181+P103)</f>
        <v>1082.2792011968477</v>
      </c>
      <c r="E180" s="70"/>
      <c r="F180" s="70"/>
      <c r="G180" s="70"/>
      <c r="J180" s="70"/>
    </row>
    <row r="181" spans="1:10">
      <c r="A181" s="206">
        <v>6</v>
      </c>
      <c r="B181" s="25">
        <f>+B178</f>
        <v>0.5</v>
      </c>
      <c r="C181" s="29">
        <f t="shared" ref="C181:C183" si="47">+$C$179+$D$172*0.1</f>
        <v>95.299300000000102</v>
      </c>
      <c r="D181" s="29">
        <f>$D$178-((C181-$C$179)*$C$82+9.81*(C181-$C$179)^2/(4.5*$F$103^2)*(1+$C$82^2))</f>
        <v>1081.2792011968477</v>
      </c>
      <c r="E181" s="70"/>
      <c r="F181" s="70"/>
      <c r="G181" s="70"/>
      <c r="J181" s="70"/>
    </row>
    <row r="182" spans="1:10">
      <c r="A182" s="206">
        <v>7</v>
      </c>
      <c r="B182" s="25">
        <f>+B177</f>
        <v>-0.5</v>
      </c>
      <c r="C182" s="29">
        <f t="shared" si="47"/>
        <v>95.299300000000102</v>
      </c>
      <c r="D182" s="29">
        <f>$D$178-((C182-$C$179)*$C$82+9.81*(C182-$C$179)^2/(4.5*$F$103^2)*(1+$C$82^2))</f>
        <v>1081.2792011968477</v>
      </c>
      <c r="E182" s="70"/>
      <c r="F182" s="70"/>
      <c r="G182" s="70"/>
      <c r="J182" s="70"/>
    </row>
    <row r="183" spans="1:10">
      <c r="A183" s="206">
        <v>8</v>
      </c>
      <c r="B183" s="25">
        <f>+B176</f>
        <v>-0.6</v>
      </c>
      <c r="C183" s="29">
        <f t="shared" si="47"/>
        <v>95.299300000000102</v>
      </c>
      <c r="D183" s="29">
        <f>+D180</f>
        <v>1082.2792011968477</v>
      </c>
      <c r="E183" s="70"/>
      <c r="F183" s="70"/>
      <c r="G183" s="70"/>
      <c r="J183" s="70"/>
    </row>
    <row r="184" spans="1:10">
      <c r="A184" s="206">
        <v>9</v>
      </c>
      <c r="B184" s="25">
        <f>+B183</f>
        <v>-0.6</v>
      </c>
      <c r="C184" s="29">
        <f>+C179+$D$172*0.5</f>
        <v>98.496500000000509</v>
      </c>
      <c r="D184" s="29">
        <f>IF(D185+P103&lt;M63,M63,D185+P103)</f>
        <v>1081.1714389948099</v>
      </c>
      <c r="E184" s="70"/>
      <c r="F184" s="70"/>
      <c r="G184" s="70"/>
      <c r="J184" s="70"/>
    </row>
    <row r="185" spans="1:10">
      <c r="A185" s="206">
        <v>10</v>
      </c>
      <c r="B185" s="25">
        <f>+B182</f>
        <v>-0.5</v>
      </c>
      <c r="C185" s="29">
        <f>+C184</f>
        <v>98.496500000000509</v>
      </c>
      <c r="D185" s="29">
        <f>$D$178-((C185-$C$179)*$C$82+9.81*(C185-$C$179)^2/(4.5*$F$103^2)*(1+$C$82^2))</f>
        <v>1080.1714389948099</v>
      </c>
      <c r="E185" s="70"/>
      <c r="F185" s="70"/>
      <c r="G185" s="70"/>
      <c r="J185" s="70"/>
    </row>
    <row r="186" spans="1:10">
      <c r="A186" s="206">
        <v>11</v>
      </c>
      <c r="B186" s="25">
        <f>+B181</f>
        <v>0.5</v>
      </c>
      <c r="C186" s="29">
        <f>+C185</f>
        <v>98.496500000000509</v>
      </c>
      <c r="D186" s="29">
        <f>$D$178-((C186-$C$179)*$C$82+9.81*(C186-$C$179)^2/(4.5*$F$103^2)*(1+$C$82^2))</f>
        <v>1080.1714389948099</v>
      </c>
      <c r="E186" s="70"/>
      <c r="J186" s="70"/>
    </row>
    <row r="187" spans="1:10">
      <c r="A187" s="206">
        <v>12</v>
      </c>
      <c r="B187" s="25">
        <f>+B180</f>
        <v>0.6</v>
      </c>
      <c r="C187" s="29">
        <f>+C186</f>
        <v>98.496500000000509</v>
      </c>
      <c r="D187" s="29">
        <f>+D184</f>
        <v>1081.1714389948099</v>
      </c>
      <c r="E187" s="70"/>
      <c r="J187" s="70"/>
    </row>
    <row r="188" spans="1:10">
      <c r="A188" s="206">
        <v>13</v>
      </c>
      <c r="B188" s="25">
        <f>+B187</f>
        <v>0.6</v>
      </c>
      <c r="C188" s="29">
        <f>C179+$D$172*0.8</f>
        <v>100.8944000000008</v>
      </c>
      <c r="D188" s="29">
        <f>IF(D189+P103&lt;M63,M63,D189+P103)</f>
        <v>1080.21</v>
      </c>
      <c r="E188" s="70"/>
      <c r="J188" s="70"/>
    </row>
    <row r="189" spans="1:10">
      <c r="A189" s="206">
        <v>14</v>
      </c>
      <c r="B189" s="25">
        <f>+B186</f>
        <v>0.5</v>
      </c>
      <c r="C189" s="29">
        <f>+C188</f>
        <v>100.8944000000008</v>
      </c>
      <c r="D189" s="29">
        <f>$D$178-((C189-$C$179)*$C$82+9.81*(C189-$C$179)^2/(4.5*$F$103^2)*(1+$C$82^2))</f>
        <v>1078.8108220043819</v>
      </c>
      <c r="E189" s="70"/>
    </row>
    <row r="190" spans="1:10">
      <c r="A190" s="206">
        <v>15</v>
      </c>
      <c r="B190" s="25">
        <f>+B185</f>
        <v>-0.5</v>
      </c>
      <c r="C190" s="29">
        <f>+C189</f>
        <v>100.8944000000008</v>
      </c>
      <c r="D190" s="29">
        <f>$D$178-((C190-$C$179)*$C$82+9.81*(C190-$C$179)^2/(4.5*$F$103^2)*(1+$C$82^2))</f>
        <v>1078.8108220043819</v>
      </c>
      <c r="E190" s="70"/>
    </row>
    <row r="191" spans="1:10">
      <c r="A191" s="206">
        <v>16</v>
      </c>
      <c r="B191" s="25">
        <f>+B184</f>
        <v>-0.6</v>
      </c>
      <c r="C191" s="29">
        <f>+C190</f>
        <v>100.8944000000008</v>
      </c>
      <c r="D191" s="29">
        <f>+D188</f>
        <v>1080.21</v>
      </c>
      <c r="E191" s="70"/>
    </row>
    <row r="192" spans="1:10">
      <c r="A192" s="206">
        <v>17</v>
      </c>
      <c r="B192" s="25">
        <f>+B191</f>
        <v>-0.6</v>
      </c>
      <c r="C192" s="29">
        <f>+C179+D172</f>
        <v>102.493000000001</v>
      </c>
      <c r="D192" s="29">
        <f>IF(D193+P103&lt;M63,M63,D193+P103)</f>
        <v>1080.21</v>
      </c>
      <c r="E192" s="27"/>
    </row>
    <row r="193" spans="1:9">
      <c r="A193" s="206">
        <v>18</v>
      </c>
      <c r="B193" s="25">
        <f>+B190</f>
        <v>-0.5</v>
      </c>
      <c r="C193" s="29">
        <f>+C192</f>
        <v>102.493000000001</v>
      </c>
      <c r="D193" s="29">
        <f>$D$178-((C193-$C$179)*$C$82+9.81*(C193-$C$179)^2/(4.5*$F$103^2)*(1+$C$82^2))</f>
        <v>1077.6514605160492</v>
      </c>
    </row>
    <row r="194" spans="1:9">
      <c r="A194" s="206">
        <v>19</v>
      </c>
      <c r="B194" s="25">
        <f>+B189</f>
        <v>0.5</v>
      </c>
      <c r="C194" s="29">
        <f>+C193</f>
        <v>102.493000000001</v>
      </c>
      <c r="D194" s="29">
        <f>$D$178-((C194-$C$179)*$C$82+9.81*(C194-$C$179)^2/(4.5*$F$103^2)*(1+$C$82^2))</f>
        <v>1077.6514605160492</v>
      </c>
    </row>
    <row r="195" spans="1:9">
      <c r="A195" s="206">
        <v>20</v>
      </c>
      <c r="B195" s="25">
        <f>+B188</f>
        <v>0.6</v>
      </c>
      <c r="C195" s="29">
        <f>+C194</f>
        <v>102.493000000001</v>
      </c>
      <c r="D195" s="29">
        <f>+D192</f>
        <v>1080.21</v>
      </c>
    </row>
    <row r="196" spans="1:9">
      <c r="C196" s="72"/>
    </row>
    <row r="197" spans="1:9" ht="18">
      <c r="A197" s="105" t="s">
        <v>263</v>
      </c>
    </row>
    <row r="198" spans="1:9">
      <c r="A198" s="302" t="s">
        <v>264</v>
      </c>
      <c r="B198" s="302"/>
      <c r="C198" s="302"/>
      <c r="D198" s="29">
        <f>+D171</f>
        <v>1077.7734471274489</v>
      </c>
    </row>
    <row r="199" spans="1:9">
      <c r="A199" s="302" t="s">
        <v>265</v>
      </c>
      <c r="B199" s="302"/>
      <c r="C199" s="302"/>
      <c r="D199" s="29">
        <f>+W161</f>
        <v>0.17151385904583094</v>
      </c>
    </row>
    <row r="200" spans="1:9">
      <c r="A200" s="302" t="s">
        <v>266</v>
      </c>
      <c r="B200" s="302"/>
      <c r="C200" s="302"/>
      <c r="D200" s="29">
        <v>1.9629000000043919</v>
      </c>
    </row>
    <row r="201" spans="1:9">
      <c r="A201" s="302" t="s">
        <v>267</v>
      </c>
      <c r="B201" s="302"/>
      <c r="C201" s="302"/>
      <c r="D201" s="29">
        <f>(D200-D199)*5.2368*EXP(0.7128*D38)</f>
        <v>10.074226446319384</v>
      </c>
      <c r="I201" s="72"/>
    </row>
    <row r="202" spans="1:9">
      <c r="A202" s="302" t="s">
        <v>268</v>
      </c>
      <c r="B202" s="302"/>
      <c r="C202" s="302"/>
      <c r="D202" s="29">
        <f>+ROUNDUP(D201,0)</f>
        <v>11</v>
      </c>
      <c r="I202" s="72"/>
    </row>
    <row r="203" spans="1:9" ht="30" customHeight="1">
      <c r="A203" s="355" t="s">
        <v>269</v>
      </c>
      <c r="B203" s="355"/>
      <c r="C203" s="355"/>
      <c r="D203" s="29">
        <f>+D9-D198</f>
        <v>0.93655287255114672</v>
      </c>
      <c r="I203" s="72"/>
    </row>
    <row r="204" spans="1:9">
      <c r="I204" s="72"/>
    </row>
    <row r="205" spans="1:9">
      <c r="I205" s="72"/>
    </row>
    <row r="206" spans="1:9">
      <c r="A206" s="302" t="s">
        <v>270</v>
      </c>
      <c r="B206" s="302"/>
      <c r="C206" s="302"/>
      <c r="D206" s="302"/>
      <c r="I206" s="72"/>
    </row>
    <row r="207" spans="1:9">
      <c r="A207" s="52" t="s">
        <v>72</v>
      </c>
      <c r="B207" s="28" t="s">
        <v>73</v>
      </c>
      <c r="C207" s="28" t="s">
        <v>43</v>
      </c>
      <c r="D207" s="28" t="s">
        <v>74</v>
      </c>
    </row>
    <row r="208" spans="1:9">
      <c r="A208" s="23">
        <v>1</v>
      </c>
      <c r="B208" s="29">
        <f>+B192</f>
        <v>-0.6</v>
      </c>
      <c r="C208" s="29">
        <f t="shared" ref="C208" si="48">+C192</f>
        <v>102.493000000001</v>
      </c>
      <c r="D208" s="29">
        <f>IF(D209+P103&lt;M63,M63,D209+P103)</f>
        <v>1080.21</v>
      </c>
    </row>
    <row r="209" spans="1:25">
      <c r="A209" s="23">
        <v>2</v>
      </c>
      <c r="B209" s="29">
        <f t="shared" ref="B209:C209" si="49">+B193</f>
        <v>-0.5</v>
      </c>
      <c r="C209" s="29">
        <f t="shared" si="49"/>
        <v>102.493000000001</v>
      </c>
      <c r="D209" s="29">
        <f>+D198</f>
        <v>1077.7734471274489</v>
      </c>
    </row>
    <row r="210" spans="1:25">
      <c r="A210" s="23">
        <v>3</v>
      </c>
      <c r="B210" s="29">
        <f t="shared" ref="B210:C210" si="50">+B194</f>
        <v>0.5</v>
      </c>
      <c r="C210" s="29">
        <f t="shared" si="50"/>
        <v>102.493000000001</v>
      </c>
      <c r="D210" s="29">
        <f>+D209</f>
        <v>1077.7734471274489</v>
      </c>
    </row>
    <row r="211" spans="1:25">
      <c r="A211" s="23">
        <v>4</v>
      </c>
      <c r="B211" s="29">
        <f t="shared" ref="B211:C211" si="51">+B195</f>
        <v>0.6</v>
      </c>
      <c r="C211" s="29">
        <f t="shared" si="51"/>
        <v>102.493000000001</v>
      </c>
      <c r="D211" s="29">
        <f>+D195</f>
        <v>1080.21</v>
      </c>
    </row>
    <row r="212" spans="1:25">
      <c r="A212" s="23">
        <v>5</v>
      </c>
      <c r="B212" s="29">
        <f>+B211</f>
        <v>0.6</v>
      </c>
      <c r="C212" s="29">
        <f>+C208+$D$202</f>
        <v>113.493000000001</v>
      </c>
      <c r="D212" s="29">
        <f>+D208</f>
        <v>1080.21</v>
      </c>
    </row>
    <row r="213" spans="1:25">
      <c r="A213" s="23">
        <v>6</v>
      </c>
      <c r="B213" s="29">
        <f>+B210</f>
        <v>0.5</v>
      </c>
      <c r="C213" s="29">
        <f t="shared" ref="C213:C215" si="52">+C209+$D$202</f>
        <v>113.493000000001</v>
      </c>
      <c r="D213" s="29">
        <f t="shared" ref="D213" si="53">+D209</f>
        <v>1077.7734471274489</v>
      </c>
    </row>
    <row r="214" spans="1:25">
      <c r="A214" s="23">
        <v>7</v>
      </c>
      <c r="B214" s="29">
        <f>+B209</f>
        <v>-0.5</v>
      </c>
      <c r="C214" s="29">
        <f t="shared" si="52"/>
        <v>113.493000000001</v>
      </c>
      <c r="D214" s="29">
        <f>+D210</f>
        <v>1077.7734471274489</v>
      </c>
    </row>
    <row r="215" spans="1:25">
      <c r="A215" s="23">
        <v>8</v>
      </c>
      <c r="B215" s="29">
        <f>+B208</f>
        <v>-0.6</v>
      </c>
      <c r="C215" s="29">
        <f t="shared" si="52"/>
        <v>113.493000000001</v>
      </c>
      <c r="D215" s="29">
        <f>+D211</f>
        <v>1080.21</v>
      </c>
    </row>
    <row r="216" spans="1:25">
      <c r="A216" s="23">
        <v>9</v>
      </c>
      <c r="B216" s="29">
        <f>+B215</f>
        <v>-0.6</v>
      </c>
      <c r="C216" s="29">
        <f>+$C$215+2*$D$203</f>
        <v>115.3661057451033</v>
      </c>
      <c r="D216" s="29">
        <f>+M63</f>
        <v>1080.21</v>
      </c>
    </row>
    <row r="217" spans="1:25">
      <c r="A217" s="23">
        <v>10</v>
      </c>
      <c r="B217" s="29">
        <f>+B214</f>
        <v>-0.5</v>
      </c>
      <c r="C217" s="29">
        <f t="shared" ref="C217:C219" si="54">+$C$215+2*$D$203</f>
        <v>115.3661057451033</v>
      </c>
      <c r="D217" s="29">
        <f>+D213+$D$203</f>
        <v>1078.71</v>
      </c>
    </row>
    <row r="218" spans="1:25">
      <c r="A218" s="23">
        <v>11</v>
      </c>
      <c r="B218" s="29">
        <f>+B213</f>
        <v>0.5</v>
      </c>
      <c r="C218" s="29">
        <f t="shared" si="54"/>
        <v>115.3661057451033</v>
      </c>
      <c r="D218" s="29">
        <f t="shared" ref="D218" si="55">+D214+$D$203</f>
        <v>1078.71</v>
      </c>
    </row>
    <row r="219" spans="1:25">
      <c r="A219" s="23">
        <v>12</v>
      </c>
      <c r="B219" s="29">
        <f>+B212</f>
        <v>0.6</v>
      </c>
      <c r="C219" s="29">
        <f t="shared" si="54"/>
        <v>115.3661057451033</v>
      </c>
      <c r="D219" s="29">
        <f>+D216</f>
        <v>1080.21</v>
      </c>
    </row>
    <row r="223" spans="1:25" ht="28.9" customHeight="1">
      <c r="A223" s="359" t="s">
        <v>271</v>
      </c>
      <c r="B223" s="360"/>
      <c r="C223" s="360"/>
      <c r="D223" s="361"/>
      <c r="H223" s="270" t="s">
        <v>272</v>
      </c>
      <c r="I223" s="270"/>
      <c r="J223" s="270"/>
      <c r="U223" s="284" t="s">
        <v>273</v>
      </c>
      <c r="V223" s="285"/>
      <c r="W223" s="285"/>
      <c r="X223" s="285"/>
      <c r="Y223" s="286"/>
    </row>
    <row r="224" spans="1:25">
      <c r="A224" s="52" t="s">
        <v>72</v>
      </c>
      <c r="B224" s="28" t="s">
        <v>73</v>
      </c>
      <c r="C224" s="28" t="s">
        <v>43</v>
      </c>
      <c r="D224" s="28" t="s">
        <v>74</v>
      </c>
      <c r="H224" s="28" t="s">
        <v>213</v>
      </c>
      <c r="I224" s="28" t="s">
        <v>274</v>
      </c>
      <c r="J224" s="23" t="s">
        <v>275</v>
      </c>
      <c r="U224" s="23" t="s">
        <v>213</v>
      </c>
      <c r="V224" s="23" t="s">
        <v>276</v>
      </c>
      <c r="W224" s="23" t="s">
        <v>277</v>
      </c>
      <c r="X224" s="23" t="s">
        <v>278</v>
      </c>
      <c r="Y224" s="23" t="s">
        <v>279</v>
      </c>
    </row>
    <row r="225" spans="1:25">
      <c r="A225" s="47">
        <f>+A63</f>
        <v>1</v>
      </c>
      <c r="B225" s="29">
        <f t="shared" ref="B225:D225" si="56">+B63</f>
        <v>-2</v>
      </c>
      <c r="C225" s="29">
        <f t="shared" si="56"/>
        <v>0</v>
      </c>
      <c r="D225" s="29">
        <f t="shared" si="56"/>
        <v>1091.5174999999999</v>
      </c>
      <c r="E225" s="286" t="s">
        <v>280</v>
      </c>
      <c r="H225" s="29">
        <f>+C226</f>
        <v>0</v>
      </c>
      <c r="I225" s="29">
        <f>+D226</f>
        <v>1090.0174999999999</v>
      </c>
      <c r="J225" s="29">
        <f>+D225</f>
        <v>1091.5174999999999</v>
      </c>
      <c r="K225" s="27"/>
      <c r="U225" s="29">
        <f>+H225</f>
        <v>0</v>
      </c>
      <c r="V225" s="29">
        <f>+B225</f>
        <v>-2</v>
      </c>
      <c r="W225" s="29">
        <f>+B226</f>
        <v>-0.5</v>
      </c>
      <c r="X225" s="29">
        <f>+B227</f>
        <v>0.5</v>
      </c>
      <c r="Y225" s="29">
        <f>+B228</f>
        <v>2</v>
      </c>
    </row>
    <row r="226" spans="1:25">
      <c r="A226" s="47">
        <f t="shared" ref="A226:D226" si="57">+A64</f>
        <v>2</v>
      </c>
      <c r="B226" s="29">
        <f t="shared" si="57"/>
        <v>-0.5</v>
      </c>
      <c r="C226" s="29">
        <f t="shared" si="57"/>
        <v>0</v>
      </c>
      <c r="D226" s="29">
        <f t="shared" si="57"/>
        <v>1090.0174999999999</v>
      </c>
      <c r="E226" s="286"/>
      <c r="H226" s="29">
        <f>+C230</f>
        <v>35</v>
      </c>
      <c r="I226" s="29">
        <f>+D230</f>
        <v>1090</v>
      </c>
      <c r="J226" s="29">
        <f>+D229</f>
        <v>1091.5</v>
      </c>
      <c r="K226" s="27"/>
      <c r="U226" s="29">
        <f t="shared" ref="U226:U236" si="58">+H226</f>
        <v>35</v>
      </c>
      <c r="V226" s="29">
        <f>+B232</f>
        <v>-2</v>
      </c>
      <c r="W226" s="29">
        <f>+B231</f>
        <v>-0.5</v>
      </c>
      <c r="X226" s="29">
        <f>+B230</f>
        <v>0.5</v>
      </c>
      <c r="Y226" s="29">
        <f>+B229</f>
        <v>2</v>
      </c>
    </row>
    <row r="227" spans="1:25">
      <c r="A227" s="47">
        <f t="shared" ref="A227:D227" si="59">+A65</f>
        <v>3</v>
      </c>
      <c r="B227" s="29">
        <f t="shared" si="59"/>
        <v>0.5</v>
      </c>
      <c r="C227" s="29">
        <f t="shared" si="59"/>
        <v>0</v>
      </c>
      <c r="D227" s="29">
        <f t="shared" si="59"/>
        <v>1090.0174999999999</v>
      </c>
      <c r="E227" s="286"/>
      <c r="H227" s="29">
        <f>+C235</f>
        <v>39.5</v>
      </c>
      <c r="I227" s="29">
        <f>+D235</f>
        <v>1090.0705291535774</v>
      </c>
      <c r="J227" s="29">
        <f>+D233</f>
        <v>1091.0705291535774</v>
      </c>
      <c r="K227" s="27"/>
      <c r="U227" s="29">
        <f t="shared" si="58"/>
        <v>39.5</v>
      </c>
      <c r="V227" s="29">
        <f>+B233</f>
        <v>-0.6</v>
      </c>
      <c r="W227" s="29">
        <f>+B234</f>
        <v>-0.5</v>
      </c>
      <c r="X227" s="29">
        <f>+B235</f>
        <v>0.5</v>
      </c>
      <c r="Y227" s="29">
        <f>+B236</f>
        <v>0.6</v>
      </c>
    </row>
    <row r="228" spans="1:25">
      <c r="A228" s="47">
        <f t="shared" ref="A228:D228" si="60">+A66</f>
        <v>4</v>
      </c>
      <c r="B228" s="29">
        <f t="shared" si="60"/>
        <v>2</v>
      </c>
      <c r="C228" s="29">
        <f t="shared" si="60"/>
        <v>0</v>
      </c>
      <c r="D228" s="29">
        <f t="shared" si="60"/>
        <v>1091.5174999999999</v>
      </c>
      <c r="E228" s="286"/>
      <c r="H228" s="29">
        <f>+C239</f>
        <v>94.5</v>
      </c>
      <c r="I228" s="29">
        <f>+D239</f>
        <v>1081.43</v>
      </c>
      <c r="J228" s="29">
        <f>+D237</f>
        <v>1082.43</v>
      </c>
      <c r="K228" s="27"/>
      <c r="U228" s="29">
        <f t="shared" si="58"/>
        <v>94.5</v>
      </c>
      <c r="V228" s="29">
        <f>+B240</f>
        <v>-0.6</v>
      </c>
      <c r="W228" s="29">
        <f>+B239</f>
        <v>-0.5</v>
      </c>
      <c r="X228" s="29">
        <f>+B238</f>
        <v>0.5</v>
      </c>
      <c r="Y228" s="29">
        <f>+B237</f>
        <v>0.6</v>
      </c>
    </row>
    <row r="229" spans="1:25">
      <c r="A229" s="47">
        <f t="shared" ref="A229:D229" si="61">+A67</f>
        <v>5</v>
      </c>
      <c r="B229" s="29">
        <f t="shared" si="61"/>
        <v>2</v>
      </c>
      <c r="C229" s="29">
        <f t="shared" si="61"/>
        <v>35</v>
      </c>
      <c r="D229" s="29">
        <f t="shared" si="61"/>
        <v>1091.5</v>
      </c>
      <c r="E229" s="286"/>
      <c r="H229" s="29">
        <f>+C242</f>
        <v>95.299300000000102</v>
      </c>
      <c r="I229" s="29">
        <f>+D242</f>
        <v>1081.2792011968477</v>
      </c>
      <c r="J229" s="29">
        <f>+D241</f>
        <v>1082.2792011968477</v>
      </c>
      <c r="K229" s="27"/>
      <c r="U229" s="29">
        <f t="shared" si="58"/>
        <v>95.299300000000102</v>
      </c>
      <c r="V229" s="29">
        <f>+B241</f>
        <v>-0.6</v>
      </c>
      <c r="W229" s="29">
        <f>+B242</f>
        <v>-0.5</v>
      </c>
      <c r="X229" s="29">
        <f>+B243</f>
        <v>0.5</v>
      </c>
      <c r="Y229" s="29">
        <f>+B244</f>
        <v>0.6</v>
      </c>
    </row>
    <row r="230" spans="1:25">
      <c r="A230" s="47">
        <f t="shared" ref="A230:D230" si="62">+A68</f>
        <v>6</v>
      </c>
      <c r="B230" s="29">
        <f t="shared" si="62"/>
        <v>0.5</v>
      </c>
      <c r="C230" s="29">
        <f t="shared" si="62"/>
        <v>35</v>
      </c>
      <c r="D230" s="29">
        <f t="shared" si="62"/>
        <v>1090</v>
      </c>
      <c r="E230" s="286"/>
      <c r="H230" s="29">
        <f>+C246</f>
        <v>98.496500000000509</v>
      </c>
      <c r="I230" s="29">
        <f>+D246</f>
        <v>1080.1714389948099</v>
      </c>
      <c r="J230" s="29">
        <f>+D245</f>
        <v>1081.1714389948099</v>
      </c>
      <c r="K230" s="27"/>
      <c r="U230" s="29">
        <f t="shared" si="58"/>
        <v>98.496500000000509</v>
      </c>
      <c r="V230" s="29">
        <f>+B248</f>
        <v>-0.6</v>
      </c>
      <c r="W230" s="29">
        <f>+B247</f>
        <v>-0.5</v>
      </c>
      <c r="X230" s="29">
        <f>+B246</f>
        <v>0.5</v>
      </c>
      <c r="Y230" s="29">
        <f>+B245</f>
        <v>0.6</v>
      </c>
    </row>
    <row r="231" spans="1:25">
      <c r="A231" s="47">
        <f t="shared" ref="A231:D231" si="63">+A69</f>
        <v>7</v>
      </c>
      <c r="B231" s="29">
        <f t="shared" si="63"/>
        <v>-0.5</v>
      </c>
      <c r="C231" s="29">
        <f t="shared" si="63"/>
        <v>35</v>
      </c>
      <c r="D231" s="29">
        <f t="shared" si="63"/>
        <v>1090</v>
      </c>
      <c r="E231" s="286"/>
      <c r="H231" s="29">
        <f>+C250</f>
        <v>100.8944000000008</v>
      </c>
      <c r="I231" s="29">
        <f>+D250</f>
        <v>1078.8108220043819</v>
      </c>
      <c r="J231" s="29">
        <f>+D253</f>
        <v>1080.21</v>
      </c>
      <c r="K231" s="27"/>
      <c r="U231" s="29">
        <f t="shared" si="58"/>
        <v>100.8944000000008</v>
      </c>
      <c r="V231" s="29">
        <f>+B249</f>
        <v>-0.6</v>
      </c>
      <c r="W231" s="29">
        <f>+B250</f>
        <v>-0.5</v>
      </c>
      <c r="X231" s="29">
        <f>+B251</f>
        <v>0.5</v>
      </c>
      <c r="Y231" s="29">
        <f>+B252</f>
        <v>0.6</v>
      </c>
    </row>
    <row r="232" spans="1:25">
      <c r="A232" s="47">
        <f t="shared" ref="A232:D232" si="64">+A70</f>
        <v>8</v>
      </c>
      <c r="B232" s="29">
        <f t="shared" si="64"/>
        <v>-2</v>
      </c>
      <c r="C232" s="29">
        <f t="shared" si="64"/>
        <v>35</v>
      </c>
      <c r="D232" s="29">
        <f t="shared" si="64"/>
        <v>1091.5</v>
      </c>
      <c r="E232" s="286"/>
      <c r="H232" s="29">
        <f>+C254</f>
        <v>102.493000000001</v>
      </c>
      <c r="I232" s="29">
        <f>+D254</f>
        <v>1077.7734471274489</v>
      </c>
      <c r="J232" s="29">
        <f>+D253</f>
        <v>1080.21</v>
      </c>
      <c r="K232" s="27"/>
      <c r="U232" s="29">
        <f t="shared" si="58"/>
        <v>102.493000000001</v>
      </c>
      <c r="V232" s="29">
        <f>+B256</f>
        <v>-0.6</v>
      </c>
      <c r="W232" s="29">
        <f>+B255</f>
        <v>-0.5</v>
      </c>
      <c r="X232" s="29">
        <f>+B254</f>
        <v>0.5</v>
      </c>
      <c r="Y232" s="29">
        <f>+B253</f>
        <v>0.6</v>
      </c>
    </row>
    <row r="233" spans="1:25">
      <c r="A233" s="23">
        <f t="shared" ref="A233:D240" si="65">+A119</f>
        <v>1</v>
      </c>
      <c r="B233" s="29">
        <f t="shared" si="65"/>
        <v>-0.6</v>
      </c>
      <c r="C233" s="29">
        <f t="shared" si="65"/>
        <v>39.5</v>
      </c>
      <c r="D233" s="29">
        <f t="shared" si="65"/>
        <v>1091.0705291535774</v>
      </c>
      <c r="E233" s="286" t="s">
        <v>281</v>
      </c>
      <c r="H233" s="29">
        <f>+C258</f>
        <v>113.493000000001</v>
      </c>
      <c r="I233" s="29">
        <f>+D258</f>
        <v>1077.7734471274489</v>
      </c>
      <c r="J233" s="29">
        <f>+D257</f>
        <v>1080.21</v>
      </c>
      <c r="K233" s="27"/>
      <c r="U233" s="29">
        <f t="shared" si="58"/>
        <v>113.493000000001</v>
      </c>
      <c r="V233" s="29">
        <f>+B257</f>
        <v>-0.6</v>
      </c>
      <c r="W233" s="29">
        <f>+B258</f>
        <v>-0.5</v>
      </c>
      <c r="X233" s="29">
        <f>+B259</f>
        <v>0.5</v>
      </c>
      <c r="Y233" s="29">
        <f>+B260</f>
        <v>0.6</v>
      </c>
    </row>
    <row r="234" spans="1:25">
      <c r="A234" s="23">
        <f t="shared" si="65"/>
        <v>2</v>
      </c>
      <c r="B234" s="29">
        <f t="shared" si="65"/>
        <v>-0.5</v>
      </c>
      <c r="C234" s="29">
        <f t="shared" si="65"/>
        <v>39.5</v>
      </c>
      <c r="D234" s="29">
        <f t="shared" si="65"/>
        <v>1090.0705291535774</v>
      </c>
      <c r="E234" s="286"/>
      <c r="H234" s="29">
        <f>+C262</f>
        <v>115.3661057451033</v>
      </c>
      <c r="I234" s="29">
        <f>+D262</f>
        <v>1078.71</v>
      </c>
      <c r="J234" s="29">
        <f>+D261</f>
        <v>1080.21</v>
      </c>
      <c r="K234" s="27"/>
      <c r="U234" s="29">
        <f t="shared" si="58"/>
        <v>115.3661057451033</v>
      </c>
      <c r="V234" s="29">
        <f>+B264</f>
        <v>-0.64</v>
      </c>
      <c r="W234" s="29">
        <f>+B263</f>
        <v>-0.5</v>
      </c>
      <c r="X234" s="29">
        <f>+B262</f>
        <v>0.5</v>
      </c>
      <c r="Y234" s="29">
        <f>+B261</f>
        <v>0.64</v>
      </c>
    </row>
    <row r="235" spans="1:25">
      <c r="A235" s="23">
        <f t="shared" si="65"/>
        <v>3</v>
      </c>
      <c r="B235" s="29">
        <f t="shared" si="65"/>
        <v>0.5</v>
      </c>
      <c r="C235" s="29">
        <f t="shared" si="65"/>
        <v>39.5</v>
      </c>
      <c r="D235" s="29">
        <f t="shared" si="65"/>
        <v>1090.0705291535774</v>
      </c>
      <c r="E235" s="286"/>
      <c r="H235" s="29">
        <f>+C266</f>
        <v>119.96610574510329</v>
      </c>
      <c r="I235" s="29">
        <f>+D266</f>
        <v>1078.71</v>
      </c>
      <c r="J235" s="29">
        <f>+D265</f>
        <v>1080.21</v>
      </c>
      <c r="K235" s="27"/>
      <c r="U235" s="29">
        <f t="shared" si="58"/>
        <v>119.96610574510329</v>
      </c>
      <c r="V235" s="29">
        <f>+B265</f>
        <v>-2</v>
      </c>
      <c r="W235" s="29">
        <f>+B266</f>
        <v>-0.5</v>
      </c>
      <c r="X235" s="29">
        <f>+B267</f>
        <v>0.5</v>
      </c>
      <c r="Y235" s="29">
        <f>+B268</f>
        <v>2</v>
      </c>
    </row>
    <row r="236" spans="1:25">
      <c r="A236" s="23">
        <f t="shared" si="65"/>
        <v>4</v>
      </c>
      <c r="B236" s="29">
        <f t="shared" si="65"/>
        <v>0.6</v>
      </c>
      <c r="C236" s="29">
        <f t="shared" si="65"/>
        <v>39.5</v>
      </c>
      <c r="D236" s="29">
        <f t="shared" si="65"/>
        <v>1091.0705291535774</v>
      </c>
      <c r="E236" s="286"/>
      <c r="H236" s="29">
        <f>+C270</f>
        <v>134.96610574510328</v>
      </c>
      <c r="I236" s="29">
        <f>+D270</f>
        <v>1078.7025000000001</v>
      </c>
      <c r="J236" s="29">
        <f>+D269</f>
        <v>1080.2025000000001</v>
      </c>
      <c r="K236" s="27"/>
      <c r="U236" s="29">
        <f t="shared" si="58"/>
        <v>134.96610574510328</v>
      </c>
      <c r="V236" s="29">
        <f>+B272</f>
        <v>-2</v>
      </c>
      <c r="W236" s="29">
        <f>+B271</f>
        <v>-0.5</v>
      </c>
      <c r="X236" s="29">
        <f>+B270</f>
        <v>0.5</v>
      </c>
      <c r="Y236" s="29">
        <f>+B269</f>
        <v>2</v>
      </c>
    </row>
    <row r="237" spans="1:25">
      <c r="A237" s="23">
        <f t="shared" si="65"/>
        <v>5</v>
      </c>
      <c r="B237" s="29">
        <f t="shared" si="65"/>
        <v>0.6</v>
      </c>
      <c r="C237" s="29">
        <f t="shared" si="65"/>
        <v>94.5</v>
      </c>
      <c r="D237" s="29">
        <f t="shared" si="65"/>
        <v>1082.43</v>
      </c>
      <c r="E237" s="286"/>
      <c r="U237" s="72"/>
    </row>
    <row r="238" spans="1:25">
      <c r="A238" s="23">
        <f t="shared" si="65"/>
        <v>6</v>
      </c>
      <c r="B238" s="29">
        <f t="shared" si="65"/>
        <v>0.5</v>
      </c>
      <c r="C238" s="29">
        <f t="shared" si="65"/>
        <v>94.5</v>
      </c>
      <c r="D238" s="29">
        <f t="shared" si="65"/>
        <v>1081.43</v>
      </c>
      <c r="E238" s="286"/>
      <c r="U238" s="72"/>
    </row>
    <row r="239" spans="1:25">
      <c r="A239" s="23">
        <f t="shared" si="65"/>
        <v>7</v>
      </c>
      <c r="B239" s="29">
        <f t="shared" si="65"/>
        <v>-0.5</v>
      </c>
      <c r="C239" s="29">
        <f t="shared" si="65"/>
        <v>94.5</v>
      </c>
      <c r="D239" s="29">
        <f t="shared" si="65"/>
        <v>1081.43</v>
      </c>
      <c r="E239" s="286"/>
    </row>
    <row r="240" spans="1:25">
      <c r="A240" s="23">
        <f t="shared" si="65"/>
        <v>8</v>
      </c>
      <c r="B240" s="29">
        <f t="shared" si="65"/>
        <v>-0.6</v>
      </c>
      <c r="C240" s="29">
        <f t="shared" si="65"/>
        <v>94.5</v>
      </c>
      <c r="D240" s="29">
        <f t="shared" si="65"/>
        <v>1082.43</v>
      </c>
      <c r="E240" s="286"/>
    </row>
    <row r="241" spans="1:13">
      <c r="A241" s="47">
        <f t="shared" ref="A241:D241" si="66">+A180</f>
        <v>5</v>
      </c>
      <c r="B241" s="29">
        <f>+B180*-1</f>
        <v>-0.6</v>
      </c>
      <c r="C241" s="29">
        <f t="shared" si="66"/>
        <v>95.299300000000102</v>
      </c>
      <c r="D241" s="29">
        <f t="shared" si="66"/>
        <v>1082.2792011968477</v>
      </c>
      <c r="E241" s="356" t="s">
        <v>282</v>
      </c>
    </row>
    <row r="242" spans="1:13">
      <c r="A242" s="47">
        <f t="shared" ref="A242:D242" si="67">+A181</f>
        <v>6</v>
      </c>
      <c r="B242" s="29">
        <f t="shared" ref="B242:B252" si="68">+B181*-1</f>
        <v>-0.5</v>
      </c>
      <c r="C242" s="29">
        <f t="shared" si="67"/>
        <v>95.299300000000102</v>
      </c>
      <c r="D242" s="29">
        <f t="shared" si="67"/>
        <v>1081.2792011968477</v>
      </c>
      <c r="E242" s="356"/>
      <c r="H242" s="302" t="s">
        <v>283</v>
      </c>
      <c r="I242" s="302"/>
      <c r="J242" s="302"/>
      <c r="K242" s="302"/>
      <c r="L242" s="302"/>
      <c r="M242" s="302"/>
    </row>
    <row r="243" spans="1:13">
      <c r="A243" s="47">
        <f t="shared" ref="A243:D243" si="69">+A182</f>
        <v>7</v>
      </c>
      <c r="B243" s="29">
        <f t="shared" si="68"/>
        <v>0.5</v>
      </c>
      <c r="C243" s="29">
        <f t="shared" si="69"/>
        <v>95.299300000000102</v>
      </c>
      <c r="D243" s="29">
        <f t="shared" si="69"/>
        <v>1081.2792011968477</v>
      </c>
      <c r="E243" s="356"/>
      <c r="H243" s="357" t="s">
        <v>284</v>
      </c>
      <c r="I243" s="357"/>
      <c r="J243" s="302" t="s">
        <v>210</v>
      </c>
      <c r="K243" s="302"/>
      <c r="L243" s="302" t="s">
        <v>285</v>
      </c>
      <c r="M243" s="302"/>
    </row>
    <row r="244" spans="1:13">
      <c r="A244" s="47">
        <f t="shared" ref="A244:D244" si="70">+A183</f>
        <v>8</v>
      </c>
      <c r="B244" s="29">
        <f t="shared" si="68"/>
        <v>0.6</v>
      </c>
      <c r="C244" s="29">
        <f t="shared" si="70"/>
        <v>95.299300000000102</v>
      </c>
      <c r="D244" s="29">
        <f t="shared" si="70"/>
        <v>1082.2792011968477</v>
      </c>
      <c r="E244" s="356"/>
      <c r="H244" s="28" t="s">
        <v>286</v>
      </c>
      <c r="I244" s="28" t="s">
        <v>287</v>
      </c>
      <c r="J244" s="166" t="s">
        <v>286</v>
      </c>
      <c r="K244" s="166" t="s">
        <v>287</v>
      </c>
      <c r="L244" s="166" t="s">
        <v>286</v>
      </c>
      <c r="M244" s="166" t="s">
        <v>287</v>
      </c>
    </row>
    <row r="245" spans="1:13">
      <c r="A245" s="47">
        <f t="shared" ref="A245:D245" si="71">+A184</f>
        <v>9</v>
      </c>
      <c r="B245" s="29">
        <f t="shared" si="68"/>
        <v>0.6</v>
      </c>
      <c r="C245" s="29">
        <f t="shared" si="71"/>
        <v>98.496500000000509</v>
      </c>
      <c r="D245" s="29">
        <f t="shared" si="71"/>
        <v>1081.1714389948099</v>
      </c>
      <c r="E245" s="356"/>
      <c r="H245" s="29">
        <f>+B225</f>
        <v>-2</v>
      </c>
      <c r="I245" s="29">
        <f>+D225</f>
        <v>1091.5174999999999</v>
      </c>
      <c r="J245" s="29">
        <f>+B233</f>
        <v>-0.6</v>
      </c>
      <c r="K245" s="29">
        <f>+D233</f>
        <v>1091.0705291535774</v>
      </c>
      <c r="L245" s="29">
        <f>+B269</f>
        <v>2</v>
      </c>
      <c r="M245" s="29">
        <f>+D269</f>
        <v>1080.2025000000001</v>
      </c>
    </row>
    <row r="246" spans="1:13">
      <c r="A246" s="47">
        <f t="shared" ref="A246:D246" si="72">+A185</f>
        <v>10</v>
      </c>
      <c r="B246" s="29">
        <f t="shared" si="68"/>
        <v>0.5</v>
      </c>
      <c r="C246" s="29">
        <f t="shared" si="72"/>
        <v>98.496500000000509</v>
      </c>
      <c r="D246" s="29">
        <f t="shared" si="72"/>
        <v>1080.1714389948099</v>
      </c>
      <c r="E246" s="356"/>
      <c r="H246" s="29">
        <f>+B226</f>
        <v>-0.5</v>
      </c>
      <c r="I246" s="29">
        <f>+D226</f>
        <v>1090.0174999999999</v>
      </c>
      <c r="J246" s="29">
        <f t="shared" ref="J246:J248" si="73">+B234</f>
        <v>-0.5</v>
      </c>
      <c r="K246" s="29">
        <f t="shared" ref="K246:K248" si="74">+D234</f>
        <v>1090.0705291535774</v>
      </c>
      <c r="L246" s="29">
        <f t="shared" ref="L246:L248" si="75">+B270</f>
        <v>0.5</v>
      </c>
      <c r="M246" s="29">
        <f t="shared" ref="M246:M248" si="76">+D270</f>
        <v>1078.7025000000001</v>
      </c>
    </row>
    <row r="247" spans="1:13">
      <c r="A247" s="47">
        <f t="shared" ref="A247:D247" si="77">+A186</f>
        <v>11</v>
      </c>
      <c r="B247" s="29">
        <f t="shared" si="68"/>
        <v>-0.5</v>
      </c>
      <c r="C247" s="29">
        <f t="shared" si="77"/>
        <v>98.496500000000509</v>
      </c>
      <c r="D247" s="29">
        <f t="shared" si="77"/>
        <v>1080.1714389948099</v>
      </c>
      <c r="E247" s="356"/>
      <c r="H247" s="29">
        <f>+B227</f>
        <v>0.5</v>
      </c>
      <c r="I247" s="29">
        <f>+D227</f>
        <v>1090.0174999999999</v>
      </c>
      <c r="J247" s="29">
        <f t="shared" si="73"/>
        <v>0.5</v>
      </c>
      <c r="K247" s="29">
        <f t="shared" si="74"/>
        <v>1090.0705291535774</v>
      </c>
      <c r="L247" s="29">
        <f t="shared" si="75"/>
        <v>-0.5</v>
      </c>
      <c r="M247" s="29">
        <f t="shared" si="76"/>
        <v>1078.7025000000001</v>
      </c>
    </row>
    <row r="248" spans="1:13">
      <c r="A248" s="47">
        <f t="shared" ref="A248:D248" si="78">+A187</f>
        <v>12</v>
      </c>
      <c r="B248" s="29">
        <f t="shared" si="68"/>
        <v>-0.6</v>
      </c>
      <c r="C248" s="29">
        <f t="shared" si="78"/>
        <v>98.496500000000509</v>
      </c>
      <c r="D248" s="29">
        <f t="shared" si="78"/>
        <v>1081.1714389948099</v>
      </c>
      <c r="E248" s="356"/>
      <c r="H248" s="29">
        <f>+B228</f>
        <v>2</v>
      </c>
      <c r="I248" s="29">
        <f>+D228</f>
        <v>1091.5174999999999</v>
      </c>
      <c r="J248" s="29">
        <f t="shared" si="73"/>
        <v>0.6</v>
      </c>
      <c r="K248" s="29">
        <f t="shared" si="74"/>
        <v>1091.0705291535774</v>
      </c>
      <c r="L248" s="29">
        <f t="shared" si="75"/>
        <v>-2</v>
      </c>
      <c r="M248" s="29">
        <f t="shared" si="76"/>
        <v>1080.2025000000001</v>
      </c>
    </row>
    <row r="249" spans="1:13">
      <c r="A249" s="47">
        <f t="shared" ref="A249:D249" si="79">+A188</f>
        <v>13</v>
      </c>
      <c r="B249" s="29">
        <f t="shared" si="68"/>
        <v>-0.6</v>
      </c>
      <c r="C249" s="29">
        <f t="shared" si="79"/>
        <v>100.8944000000008</v>
      </c>
      <c r="D249" s="29">
        <f t="shared" si="79"/>
        <v>1080.21</v>
      </c>
      <c r="E249" s="356"/>
      <c r="H249" s="358"/>
      <c r="I249" s="358"/>
    </row>
    <row r="250" spans="1:13">
      <c r="A250" s="47">
        <f t="shared" ref="A250:C250" si="80">+A189</f>
        <v>14</v>
      </c>
      <c r="B250" s="29">
        <f t="shared" si="68"/>
        <v>-0.5</v>
      </c>
      <c r="C250" s="29">
        <f t="shared" si="80"/>
        <v>100.8944000000008</v>
      </c>
      <c r="D250" s="29">
        <f>+D189</f>
        <v>1078.8108220043819</v>
      </c>
      <c r="E250" s="356"/>
    </row>
    <row r="251" spans="1:13">
      <c r="A251" s="47">
        <f t="shared" ref="A251:C251" si="81">+A190</f>
        <v>15</v>
      </c>
      <c r="B251" s="29">
        <f t="shared" si="68"/>
        <v>0.5</v>
      </c>
      <c r="C251" s="29">
        <f t="shared" si="81"/>
        <v>100.8944000000008</v>
      </c>
      <c r="D251" s="29">
        <f>+D190</f>
        <v>1078.8108220043819</v>
      </c>
      <c r="E251" s="356"/>
    </row>
    <row r="252" spans="1:13">
      <c r="A252" s="47">
        <f t="shared" ref="A252:D252" si="82">+A191</f>
        <v>16</v>
      </c>
      <c r="B252" s="29">
        <f t="shared" si="68"/>
        <v>0.6</v>
      </c>
      <c r="C252" s="29">
        <f t="shared" si="82"/>
        <v>100.8944000000008</v>
      </c>
      <c r="D252" s="29">
        <f t="shared" si="82"/>
        <v>1080.21</v>
      </c>
      <c r="E252" s="356"/>
    </row>
    <row r="253" spans="1:13">
      <c r="A253" s="47">
        <f>+A208</f>
        <v>1</v>
      </c>
      <c r="B253" s="29">
        <f>+B208*-1</f>
        <v>0.6</v>
      </c>
      <c r="C253" s="29">
        <f t="shared" ref="C253:D253" si="83">+C208</f>
        <v>102.493000000001</v>
      </c>
      <c r="D253" s="29">
        <f t="shared" si="83"/>
        <v>1080.21</v>
      </c>
      <c r="E253" s="286" t="s">
        <v>288</v>
      </c>
    </row>
    <row r="254" spans="1:13">
      <c r="A254" s="47">
        <f t="shared" ref="A254:D254" si="84">+A209</f>
        <v>2</v>
      </c>
      <c r="B254" s="29">
        <f t="shared" ref="B254:B260" si="85">+B209*-1</f>
        <v>0.5</v>
      </c>
      <c r="C254" s="29">
        <f t="shared" si="84"/>
        <v>102.493000000001</v>
      </c>
      <c r="D254" s="29">
        <f t="shared" si="84"/>
        <v>1077.7734471274489</v>
      </c>
      <c r="E254" s="286"/>
    </row>
    <row r="255" spans="1:13">
      <c r="A255" s="47">
        <f t="shared" ref="A255:C255" si="86">+A210</f>
        <v>3</v>
      </c>
      <c r="B255" s="29">
        <f t="shared" si="85"/>
        <v>-0.5</v>
      </c>
      <c r="C255" s="29">
        <f t="shared" si="86"/>
        <v>102.493000000001</v>
      </c>
      <c r="D255" s="29">
        <f>+D210</f>
        <v>1077.7734471274489</v>
      </c>
      <c r="E255" s="286"/>
    </row>
    <row r="256" spans="1:13">
      <c r="A256" s="47">
        <f t="shared" ref="A256:D256" si="87">+A211</f>
        <v>4</v>
      </c>
      <c r="B256" s="29">
        <f t="shared" si="85"/>
        <v>-0.6</v>
      </c>
      <c r="C256" s="29">
        <f t="shared" si="87"/>
        <v>102.493000000001</v>
      </c>
      <c r="D256" s="29">
        <f t="shared" si="87"/>
        <v>1080.21</v>
      </c>
      <c r="E256" s="286"/>
    </row>
    <row r="257" spans="1:7">
      <c r="A257" s="47">
        <f t="shared" ref="A257:D257" si="88">+A212</f>
        <v>5</v>
      </c>
      <c r="B257" s="29">
        <f t="shared" si="85"/>
        <v>-0.6</v>
      </c>
      <c r="C257" s="29">
        <f t="shared" si="88"/>
        <v>113.493000000001</v>
      </c>
      <c r="D257" s="29">
        <f t="shared" si="88"/>
        <v>1080.21</v>
      </c>
      <c r="E257" s="286"/>
    </row>
    <row r="258" spans="1:7">
      <c r="A258" s="47">
        <f t="shared" ref="A258:D258" si="89">+A213</f>
        <v>6</v>
      </c>
      <c r="B258" s="29">
        <f t="shared" si="85"/>
        <v>-0.5</v>
      </c>
      <c r="C258" s="29">
        <f t="shared" si="89"/>
        <v>113.493000000001</v>
      </c>
      <c r="D258" s="29">
        <f t="shared" si="89"/>
        <v>1077.7734471274489</v>
      </c>
      <c r="E258" s="286"/>
    </row>
    <row r="259" spans="1:7">
      <c r="A259" s="47">
        <f t="shared" ref="A259:C259" si="90">+A214</f>
        <v>7</v>
      </c>
      <c r="B259" s="29">
        <f t="shared" si="85"/>
        <v>0.5</v>
      </c>
      <c r="C259" s="29">
        <f t="shared" si="90"/>
        <v>113.493000000001</v>
      </c>
      <c r="D259" s="29">
        <f>+D214</f>
        <v>1077.7734471274489</v>
      </c>
      <c r="E259" s="286"/>
    </row>
    <row r="260" spans="1:7">
      <c r="A260" s="47">
        <f t="shared" ref="A260:D260" si="91">+A215</f>
        <v>8</v>
      </c>
      <c r="B260" s="29">
        <f t="shared" si="85"/>
        <v>0.6</v>
      </c>
      <c r="C260" s="29">
        <f t="shared" si="91"/>
        <v>113.493000000001</v>
      </c>
      <c r="D260" s="29">
        <f t="shared" si="91"/>
        <v>1080.21</v>
      </c>
      <c r="E260" s="286"/>
    </row>
    <row r="261" spans="1:7">
      <c r="A261" s="47">
        <f t="shared" ref="A261:A272" si="92">+J63</f>
        <v>1</v>
      </c>
      <c r="B261" s="29">
        <f>+K63*-1</f>
        <v>0.64</v>
      </c>
      <c r="C261" s="29">
        <f t="shared" ref="C261" si="93">+L63</f>
        <v>115.3661057451033</v>
      </c>
      <c r="D261" s="29">
        <f t="shared" ref="D261" si="94">+M63</f>
        <v>1080.21</v>
      </c>
      <c r="E261" s="286" t="s">
        <v>289</v>
      </c>
    </row>
    <row r="262" spans="1:7">
      <c r="A262" s="47">
        <f t="shared" si="92"/>
        <v>2</v>
      </c>
      <c r="B262" s="29">
        <f t="shared" ref="B262:B272" si="95">+K64*-1</f>
        <v>0.5</v>
      </c>
      <c r="C262" s="29">
        <f t="shared" ref="C262:C272" si="96">+L64</f>
        <v>115.3661057451033</v>
      </c>
      <c r="D262" s="29">
        <f t="shared" ref="D262:D272" si="97">+M64</f>
        <v>1078.71</v>
      </c>
      <c r="E262" s="286"/>
    </row>
    <row r="263" spans="1:7">
      <c r="A263" s="47">
        <f t="shared" si="92"/>
        <v>3</v>
      </c>
      <c r="B263" s="29">
        <f t="shared" si="95"/>
        <v>-0.5</v>
      </c>
      <c r="C263" s="29">
        <f t="shared" si="96"/>
        <v>115.3661057451033</v>
      </c>
      <c r="D263" s="29">
        <f t="shared" si="97"/>
        <v>1078.71</v>
      </c>
      <c r="E263" s="286"/>
    </row>
    <row r="264" spans="1:7">
      <c r="A264" s="47">
        <f t="shared" si="92"/>
        <v>4</v>
      </c>
      <c r="B264" s="29">
        <f t="shared" si="95"/>
        <v>-0.64</v>
      </c>
      <c r="C264" s="29">
        <f t="shared" si="96"/>
        <v>115.3661057451033</v>
      </c>
      <c r="D264" s="29">
        <f t="shared" si="97"/>
        <v>1080.21</v>
      </c>
      <c r="E264" s="286"/>
    </row>
    <row r="265" spans="1:7">
      <c r="A265" s="47">
        <f t="shared" si="92"/>
        <v>5</v>
      </c>
      <c r="B265" s="29">
        <f t="shared" si="95"/>
        <v>-2</v>
      </c>
      <c r="C265" s="29">
        <f t="shared" si="96"/>
        <v>119.96610574510329</v>
      </c>
      <c r="D265" s="29">
        <f t="shared" si="97"/>
        <v>1080.21</v>
      </c>
      <c r="E265" s="286"/>
    </row>
    <row r="266" spans="1:7">
      <c r="A266" s="47">
        <f t="shared" si="92"/>
        <v>6</v>
      </c>
      <c r="B266" s="29">
        <f t="shared" si="95"/>
        <v>-0.5</v>
      </c>
      <c r="C266" s="29">
        <f t="shared" si="96"/>
        <v>119.96610574510329</v>
      </c>
      <c r="D266" s="29">
        <f t="shared" si="97"/>
        <v>1078.71</v>
      </c>
      <c r="E266" s="286"/>
    </row>
    <row r="267" spans="1:7">
      <c r="A267" s="47">
        <f t="shared" si="92"/>
        <v>7</v>
      </c>
      <c r="B267" s="29">
        <f t="shared" si="95"/>
        <v>0.5</v>
      </c>
      <c r="C267" s="29">
        <f t="shared" si="96"/>
        <v>119.96610574510329</v>
      </c>
      <c r="D267" s="29">
        <f t="shared" si="97"/>
        <v>1078.71</v>
      </c>
      <c r="E267" s="286"/>
    </row>
    <row r="268" spans="1:7">
      <c r="A268" s="47">
        <f t="shared" si="92"/>
        <v>8</v>
      </c>
      <c r="B268" s="29">
        <f t="shared" si="95"/>
        <v>2</v>
      </c>
      <c r="C268" s="29">
        <f t="shared" si="96"/>
        <v>119.96610574510329</v>
      </c>
      <c r="D268" s="29">
        <f t="shared" si="97"/>
        <v>1080.21</v>
      </c>
      <c r="E268" s="286"/>
    </row>
    <row r="269" spans="1:7">
      <c r="A269" s="47">
        <f t="shared" si="92"/>
        <v>9</v>
      </c>
      <c r="B269" s="29">
        <f t="shared" si="95"/>
        <v>2</v>
      </c>
      <c r="C269" s="29">
        <f t="shared" si="96"/>
        <v>134.96610574510328</v>
      </c>
      <c r="D269" s="29">
        <f t="shared" si="97"/>
        <v>1080.2025000000001</v>
      </c>
      <c r="E269" s="286"/>
    </row>
    <row r="270" spans="1:7">
      <c r="A270" s="47">
        <f t="shared" si="92"/>
        <v>10</v>
      </c>
      <c r="B270" s="29">
        <f t="shared" si="95"/>
        <v>0.5</v>
      </c>
      <c r="C270" s="29">
        <f t="shared" si="96"/>
        <v>134.96610574510328</v>
      </c>
      <c r="D270" s="29">
        <f t="shared" si="97"/>
        <v>1078.7025000000001</v>
      </c>
      <c r="E270" s="286"/>
    </row>
    <row r="271" spans="1:7">
      <c r="A271" s="47">
        <f t="shared" si="92"/>
        <v>11</v>
      </c>
      <c r="B271" s="29">
        <f t="shared" si="95"/>
        <v>-0.5</v>
      </c>
      <c r="C271" s="29">
        <f t="shared" si="96"/>
        <v>134.96610574510328</v>
      </c>
      <c r="D271" s="29">
        <f t="shared" si="97"/>
        <v>1078.7025000000001</v>
      </c>
      <c r="E271" s="286"/>
      <c r="G271" s="72"/>
    </row>
    <row r="272" spans="1:7">
      <c r="A272" s="47">
        <f t="shared" si="92"/>
        <v>12</v>
      </c>
      <c r="B272" s="29">
        <f t="shared" si="95"/>
        <v>-2</v>
      </c>
      <c r="C272" s="29">
        <f t="shared" si="96"/>
        <v>134.96610574510328</v>
      </c>
      <c r="D272" s="29">
        <f t="shared" si="97"/>
        <v>1080.2025000000001</v>
      </c>
      <c r="E272" s="286"/>
    </row>
    <row r="276" spans="1:6" ht="15">
      <c r="A276" s="316" t="s">
        <v>290</v>
      </c>
      <c r="B276" s="316"/>
      <c r="C276" s="316"/>
      <c r="D276" s="316"/>
      <c r="E276" s="316"/>
      <c r="F276" s="316"/>
    </row>
    <row r="277" spans="1:6">
      <c r="A277" s="302" t="s">
        <v>291</v>
      </c>
      <c r="B277" s="302"/>
      <c r="C277" s="302"/>
      <c r="D277" s="302"/>
      <c r="E277" s="47">
        <f>(B61/C20+D56/((C50+D50)*0.5)+C80/((F98+F103)*0.5)+D172/D133+(D202+D203*2+M56+K61)/D50)*15</f>
        <v>1030.8371114213271</v>
      </c>
      <c r="F277" s="23" t="s">
        <v>292</v>
      </c>
    </row>
    <row r="278" spans="1:6">
      <c r="A278" s="302" t="s">
        <v>293</v>
      </c>
      <c r="B278" s="302"/>
      <c r="C278" s="302"/>
      <c r="D278" s="302"/>
      <c r="E278" s="29">
        <f>+C4</f>
        <v>2</v>
      </c>
      <c r="F278" s="29" t="s">
        <v>46</v>
      </c>
    </row>
    <row r="279" spans="1:6" ht="29.25" customHeight="1">
      <c r="A279" s="355" t="s">
        <v>294</v>
      </c>
      <c r="B279" s="355"/>
      <c r="C279" s="355"/>
      <c r="D279" s="355"/>
      <c r="E279" s="25">
        <f>+D271+D23</f>
        <v>1079.8151699999989</v>
      </c>
      <c r="F279" s="23" t="s">
        <v>44</v>
      </c>
    </row>
    <row r="280" spans="1:6">
      <c r="A280" s="302" t="s">
        <v>295</v>
      </c>
      <c r="B280" s="302"/>
      <c r="C280" s="302"/>
      <c r="D280" s="302"/>
      <c r="E280" s="25">
        <f>+C8</f>
        <v>1.7999999999999999E-2</v>
      </c>
      <c r="F280" s="25"/>
    </row>
    <row r="281" spans="1:6">
      <c r="A281" s="302" t="s">
        <v>296</v>
      </c>
      <c r="B281" s="302"/>
      <c r="C281" s="302"/>
      <c r="D281" s="302"/>
      <c r="E281" s="25">
        <f>+C84</f>
        <v>1.6E-2</v>
      </c>
      <c r="F281" s="25"/>
    </row>
    <row r="282" spans="1:6">
      <c r="A282" s="302" t="s">
        <v>297</v>
      </c>
      <c r="B282" s="302"/>
      <c r="C282" s="302"/>
      <c r="D282" s="302"/>
      <c r="E282" s="25">
        <f>+D8</f>
        <v>1.7999999999999999E-2</v>
      </c>
      <c r="F282" s="25"/>
    </row>
  </sheetData>
  <sortState xmlns:xlrd2="http://schemas.microsoft.com/office/spreadsheetml/2017/richdata2" ref="F171:G183">
    <sortCondition ref="F171:F183"/>
  </sortState>
  <mergeCells count="107">
    <mergeCell ref="C85:D85"/>
    <mergeCell ref="C92:D92"/>
    <mergeCell ref="C91:D91"/>
    <mergeCell ref="B26:B28"/>
    <mergeCell ref="A36:B36"/>
    <mergeCell ref="C80:D80"/>
    <mergeCell ref="C83:D83"/>
    <mergeCell ref="C84:D84"/>
    <mergeCell ref="A89:D90"/>
    <mergeCell ref="D30:F33"/>
    <mergeCell ref="A79:B79"/>
    <mergeCell ref="C78:D78"/>
    <mergeCell ref="F36:H36"/>
    <mergeCell ref="F37:G37"/>
    <mergeCell ref="F38:G38"/>
    <mergeCell ref="A26:A28"/>
    <mergeCell ref="D26:F26"/>
    <mergeCell ref="D27:F27"/>
    <mergeCell ref="D28:F28"/>
    <mergeCell ref="A55:C55"/>
    <mergeCell ref="A56:C56"/>
    <mergeCell ref="A3:B3"/>
    <mergeCell ref="J36:K36"/>
    <mergeCell ref="O36:Q36"/>
    <mergeCell ref="O37:P37"/>
    <mergeCell ref="O38:P38"/>
    <mergeCell ref="J55:L55"/>
    <mergeCell ref="J56:L56"/>
    <mergeCell ref="J58:N58"/>
    <mergeCell ref="N59:N60"/>
    <mergeCell ref="A15:B15"/>
    <mergeCell ref="A58:E58"/>
    <mergeCell ref="E59:E60"/>
    <mergeCell ref="O96:O97"/>
    <mergeCell ref="P96:P97"/>
    <mergeCell ref="M96:M97"/>
    <mergeCell ref="N96:N97"/>
    <mergeCell ref="A151:C151"/>
    <mergeCell ref="A152:C152"/>
    <mergeCell ref="A153:C153"/>
    <mergeCell ref="F135:G135"/>
    <mergeCell ref="A134:C134"/>
    <mergeCell ref="B106:B107"/>
    <mergeCell ref="C106:C107"/>
    <mergeCell ref="D106:D107"/>
    <mergeCell ref="A106:A107"/>
    <mergeCell ref="A132:C132"/>
    <mergeCell ref="A117:D117"/>
    <mergeCell ref="A130:C130"/>
    <mergeCell ref="A131:C131"/>
    <mergeCell ref="A133:C133"/>
    <mergeCell ref="C94:D94"/>
    <mergeCell ref="C95:D95"/>
    <mergeCell ref="H96:H97"/>
    <mergeCell ref="I96:I97"/>
    <mergeCell ref="J96:J97"/>
    <mergeCell ref="K96:K97"/>
    <mergeCell ref="L96:L97"/>
    <mergeCell ref="C96:C97"/>
    <mergeCell ref="D96:D97"/>
    <mergeCell ref="E96:E97"/>
    <mergeCell ref="F96:F97"/>
    <mergeCell ref="G96:G97"/>
    <mergeCell ref="A93:B93"/>
    <mergeCell ref="A96:A97"/>
    <mergeCell ref="B96:B97"/>
    <mergeCell ref="C93:D93"/>
    <mergeCell ref="A85:B85"/>
    <mergeCell ref="C82:D82"/>
    <mergeCell ref="U223:Y223"/>
    <mergeCell ref="A200:C200"/>
    <mergeCell ref="A201:C201"/>
    <mergeCell ref="A202:C202"/>
    <mergeCell ref="A203:C203"/>
    <mergeCell ref="A206:D206"/>
    <mergeCell ref="P152:Y152"/>
    <mergeCell ref="A170:C170"/>
    <mergeCell ref="Q154:R154"/>
    <mergeCell ref="S154:T154"/>
    <mergeCell ref="A174:D174"/>
    <mergeCell ref="A171:C171"/>
    <mergeCell ref="A172:C172"/>
    <mergeCell ref="A198:C198"/>
    <mergeCell ref="A199:C199"/>
    <mergeCell ref="V154:W154"/>
    <mergeCell ref="X154:Y154"/>
    <mergeCell ref="V159:W159"/>
    <mergeCell ref="F154:G154"/>
    <mergeCell ref="A280:D280"/>
    <mergeCell ref="A281:D281"/>
    <mergeCell ref="A282:D282"/>
    <mergeCell ref="H223:J223"/>
    <mergeCell ref="E225:E232"/>
    <mergeCell ref="E233:E240"/>
    <mergeCell ref="E241:E252"/>
    <mergeCell ref="E253:E260"/>
    <mergeCell ref="H243:I243"/>
    <mergeCell ref="J243:K243"/>
    <mergeCell ref="H242:M242"/>
    <mergeCell ref="L243:M243"/>
    <mergeCell ref="H249:I249"/>
    <mergeCell ref="A279:D279"/>
    <mergeCell ref="A276:F276"/>
    <mergeCell ref="A278:D278"/>
    <mergeCell ref="A277:D277"/>
    <mergeCell ref="E261:E272"/>
    <mergeCell ref="A223:D223"/>
  </mergeCells>
  <pageMargins left="0.7" right="0.7" top="0.75" bottom="0.75" header="0.3" footer="0.3"/>
  <pageSetup scale="15" orientation="portrait" r:id="rId1"/>
  <headerFooter scaleWithDoc="0" alignWithMargins="0"/>
  <ignoredErrors>
    <ignoredError sqref="B241:B272"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3078" r:id="rId4" name="Button 6">
              <controlPr defaultSize="0" print="0" autoFill="0" autoPict="0" macro="[0]!Hoja1_Botón6_Haga_clic_en">
                <anchor moveWithCells="1" sizeWithCells="1">
                  <from>
                    <xdr:col>13</xdr:col>
                    <xdr:colOff>57150</xdr:colOff>
                    <xdr:row>2</xdr:row>
                    <xdr:rowOff>314325</xdr:rowOff>
                  </from>
                  <to>
                    <xdr:col>15</xdr:col>
                    <xdr:colOff>0</xdr:colOff>
                    <xdr:row>3</xdr:row>
                    <xdr:rowOff>76200</xdr:rowOff>
                  </to>
                </anchor>
              </controlPr>
            </control>
          </mc:Choice>
        </mc:AlternateContent>
        <mc:AlternateContent xmlns:mc="http://schemas.openxmlformats.org/markup-compatibility/2006">
          <mc:Choice Requires="x14">
            <control shapeId="3079" r:id="rId5" name="Button 7">
              <controlPr defaultSize="0" print="0" autoFill="0" autoPict="0" macro="[0]!Botón7_Haga_clic_en">
                <anchor moveWithCells="1" sizeWithCells="1">
                  <from>
                    <xdr:col>0</xdr:col>
                    <xdr:colOff>1162050</xdr:colOff>
                    <xdr:row>42</xdr:row>
                    <xdr:rowOff>66675</xdr:rowOff>
                  </from>
                  <to>
                    <xdr:col>3</xdr:col>
                    <xdr:colOff>752475</xdr:colOff>
                    <xdr:row>44</xdr:row>
                    <xdr:rowOff>114300</xdr:rowOff>
                  </to>
                </anchor>
              </controlPr>
            </control>
          </mc:Choice>
        </mc:AlternateContent>
        <mc:AlternateContent xmlns:mc="http://schemas.openxmlformats.org/markup-compatibility/2006">
          <mc:Choice Requires="x14">
            <control shapeId="3085" r:id="rId6" name="Button 13">
              <controlPr defaultSize="0" print="0" autoFill="0" autoPict="0" macro="[0]!Botón13_Haga_clic_en">
                <anchor moveWithCells="1" sizeWithCells="1">
                  <from>
                    <xdr:col>13</xdr:col>
                    <xdr:colOff>47625</xdr:colOff>
                    <xdr:row>4</xdr:row>
                    <xdr:rowOff>28575</xdr:rowOff>
                  </from>
                  <to>
                    <xdr:col>15</xdr:col>
                    <xdr:colOff>28575</xdr:colOff>
                    <xdr:row>6</xdr:row>
                    <xdr:rowOff>85725</xdr:rowOff>
                  </to>
                </anchor>
              </controlPr>
            </control>
          </mc:Choice>
        </mc:AlternateContent>
        <mc:AlternateContent xmlns:mc="http://schemas.openxmlformats.org/markup-compatibility/2006">
          <mc:Choice Requires="x14">
            <control shapeId="3086" r:id="rId7" name="Button 14">
              <controlPr defaultSize="0" print="0" autoFill="0" autoPict="0" macro="[0]!Botón14_Haga_clic_en">
                <anchor moveWithCells="1" sizeWithCells="1">
                  <from>
                    <xdr:col>17</xdr:col>
                    <xdr:colOff>542925</xdr:colOff>
                    <xdr:row>139</xdr:row>
                    <xdr:rowOff>95250</xdr:rowOff>
                  </from>
                  <to>
                    <xdr:col>20</xdr:col>
                    <xdr:colOff>504825</xdr:colOff>
                    <xdr:row>143</xdr:row>
                    <xdr:rowOff>57150</xdr:rowOff>
                  </to>
                </anchor>
              </controlPr>
            </control>
          </mc:Choice>
        </mc:AlternateContent>
        <mc:AlternateContent xmlns:mc="http://schemas.openxmlformats.org/markup-compatibility/2006">
          <mc:Choice Requires="x14">
            <control shapeId="3092" r:id="rId8" name="Button 20">
              <controlPr defaultSize="0" print="0" autoFill="0" autoPict="0" macro="[0]!Botón20_Haga_clic_en">
                <anchor moveWithCells="1" sizeWithCells="1">
                  <from>
                    <xdr:col>9</xdr:col>
                    <xdr:colOff>38100</xdr:colOff>
                    <xdr:row>42</xdr:row>
                    <xdr:rowOff>95250</xdr:rowOff>
                  </from>
                  <to>
                    <xdr:col>12</xdr:col>
                    <xdr:colOff>742950</xdr:colOff>
                    <xdr:row>44</xdr:row>
                    <xdr:rowOff>133350</xdr:rowOff>
                  </to>
                </anchor>
              </controlPr>
            </control>
          </mc:Choice>
        </mc:AlternateContent>
        <mc:AlternateContent xmlns:mc="http://schemas.openxmlformats.org/markup-compatibility/2006">
          <mc:Choice Requires="x14">
            <control shapeId="3095" r:id="rId9" name="Button 23">
              <controlPr defaultSize="0" print="0" autoFill="0" autoPict="0" macro="[0]!Botón23_Haga_clic_en">
                <anchor moveWithCells="1" sizeWithCells="1">
                  <from>
                    <xdr:col>4</xdr:col>
                    <xdr:colOff>190500</xdr:colOff>
                    <xdr:row>196</xdr:row>
                    <xdr:rowOff>228600</xdr:rowOff>
                  </from>
                  <to>
                    <xdr:col>5</xdr:col>
                    <xdr:colOff>485775</xdr:colOff>
                    <xdr:row>199</xdr:row>
                    <xdr:rowOff>180975</xdr:rowOff>
                  </to>
                </anchor>
              </controlPr>
            </control>
          </mc:Choice>
        </mc:AlternateContent>
        <mc:AlternateContent xmlns:mc="http://schemas.openxmlformats.org/markup-compatibility/2006">
          <mc:Choice Requires="x14">
            <control shapeId="3096" r:id="rId10" name="Botón 24">
              <controlPr defaultSize="0" print="0" autoFill="0" autoPict="0" macro="[0]!Botón24_Haga_clic_en">
                <anchor moveWithCells="1" sizeWithCells="1">
                  <from>
                    <xdr:col>13</xdr:col>
                    <xdr:colOff>76200</xdr:colOff>
                    <xdr:row>0</xdr:row>
                    <xdr:rowOff>400050</xdr:rowOff>
                  </from>
                  <to>
                    <xdr:col>14</xdr:col>
                    <xdr:colOff>733425</xdr:colOff>
                    <xdr:row>2</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E405"/>
  <sheetViews>
    <sheetView zoomScale="70" zoomScaleNormal="70" workbookViewId="0">
      <selection activeCell="C5" sqref="C5"/>
    </sheetView>
  </sheetViews>
  <sheetFormatPr baseColWidth="10" defaultColWidth="11.42578125" defaultRowHeight="12.75"/>
  <cols>
    <col min="1" max="1" width="18.85546875" style="83" customWidth="1"/>
    <col min="2" max="3" width="11.5703125" style="83" customWidth="1"/>
    <col min="4" max="4" width="11.42578125" style="83" customWidth="1"/>
    <col min="5" max="5" width="14.85546875" style="83" customWidth="1"/>
    <col min="6" max="6" width="4.28515625" style="83" customWidth="1"/>
    <col min="7" max="7" width="11.42578125" style="83"/>
    <col min="8" max="8" width="3.42578125" style="83" customWidth="1"/>
    <col min="9" max="11" width="11.42578125" style="83"/>
    <col min="12" max="12" width="12" style="83" customWidth="1"/>
    <col min="13" max="16384" width="11.42578125" style="83"/>
  </cols>
  <sheetData>
    <row r="1" spans="1:21" ht="30.75" thickBot="1">
      <c r="A1" s="391" t="s">
        <v>298</v>
      </c>
      <c r="B1" s="391"/>
      <c r="C1" s="391"/>
      <c r="D1" s="391"/>
      <c r="E1" s="391"/>
      <c r="F1" s="391"/>
      <c r="G1" s="391"/>
      <c r="H1" s="391"/>
      <c r="I1" s="391"/>
      <c r="J1" s="391"/>
      <c r="K1" s="391"/>
      <c r="L1" s="391"/>
      <c r="M1" s="391"/>
      <c r="N1" s="391"/>
      <c r="O1" s="391"/>
      <c r="P1" s="391"/>
      <c r="Q1" s="391"/>
      <c r="R1" s="93"/>
      <c r="S1" s="93"/>
      <c r="T1" s="93"/>
      <c r="U1" s="93"/>
    </row>
    <row r="2" spans="1:21" ht="36" customHeight="1">
      <c r="A2" s="407" t="s">
        <v>299</v>
      </c>
      <c r="B2" s="408"/>
      <c r="C2" s="408"/>
      <c r="D2" s="408"/>
      <c r="E2" s="408"/>
      <c r="F2" s="408"/>
    </row>
    <row r="3" spans="1:21" ht="62.25" customHeight="1" thickBot="1">
      <c r="A3" s="392" t="s">
        <v>77</v>
      </c>
      <c r="B3" s="393"/>
      <c r="C3" s="84" t="s">
        <v>78</v>
      </c>
      <c r="D3" s="84" t="s">
        <v>79</v>
      </c>
    </row>
    <row r="4" spans="1:21" ht="12.75" customHeight="1">
      <c r="A4" s="86" t="s">
        <v>45</v>
      </c>
      <c r="B4" s="87" t="s">
        <v>80</v>
      </c>
      <c r="C4" s="224">
        <v>1.2</v>
      </c>
      <c r="D4" s="224">
        <f>+C4</f>
        <v>1.2</v>
      </c>
      <c r="G4" s="198"/>
      <c r="H4" s="196"/>
      <c r="I4" s="196"/>
      <c r="J4" s="196"/>
      <c r="K4" s="196"/>
      <c r="L4" s="196"/>
      <c r="M4" s="196"/>
      <c r="N4" s="196"/>
      <c r="O4" s="196"/>
      <c r="P4" s="197"/>
      <c r="Q4" s="415" t="s">
        <v>300</v>
      </c>
      <c r="R4" s="416"/>
      <c r="S4" s="416"/>
      <c r="T4" s="416"/>
      <c r="U4" s="197"/>
    </row>
    <row r="5" spans="1:21">
      <c r="A5" s="86" t="s">
        <v>47</v>
      </c>
      <c r="B5" s="87" t="s">
        <v>81</v>
      </c>
      <c r="C5" s="224">
        <v>1</v>
      </c>
      <c r="D5" s="224">
        <v>1</v>
      </c>
      <c r="G5" s="413" t="s">
        <v>301</v>
      </c>
      <c r="H5" s="414"/>
      <c r="I5" s="414"/>
      <c r="J5" s="414"/>
      <c r="P5" s="85"/>
      <c r="Q5" s="417"/>
      <c r="R5" s="418"/>
      <c r="S5" s="418"/>
      <c r="T5" s="418"/>
      <c r="U5" s="85"/>
    </row>
    <row r="6" spans="1:21">
      <c r="A6" s="86" t="s">
        <v>49</v>
      </c>
      <c r="B6" s="87" t="s">
        <v>82</v>
      </c>
      <c r="C6" s="224">
        <v>1</v>
      </c>
      <c r="D6" s="224">
        <v>1</v>
      </c>
      <c r="G6" s="401" t="s">
        <v>302</v>
      </c>
      <c r="H6" s="357"/>
      <c r="I6" s="357"/>
      <c r="J6" s="90">
        <v>0.81</v>
      </c>
      <c r="P6" s="85"/>
      <c r="Q6" s="199" t="s">
        <v>303</v>
      </c>
      <c r="R6" s="91">
        <f>+J14</f>
        <v>2.8706019592015979</v>
      </c>
      <c r="S6" s="90" t="s">
        <v>304</v>
      </c>
      <c r="T6" s="91">
        <f>+R11</f>
        <v>0.2428839999999485</v>
      </c>
      <c r="U6" s="85"/>
    </row>
    <row r="7" spans="1:21">
      <c r="A7" s="86" t="s">
        <v>50</v>
      </c>
      <c r="B7" s="87" t="s">
        <v>81</v>
      </c>
      <c r="C7" s="224">
        <v>1E-3</v>
      </c>
      <c r="D7" s="224">
        <v>1E-3</v>
      </c>
      <c r="G7" s="401" t="s">
        <v>305</v>
      </c>
      <c r="H7" s="357"/>
      <c r="I7" s="357"/>
      <c r="J7" s="90">
        <f>+J6+2*0.05*J8</f>
        <v>0.8707209999999872</v>
      </c>
      <c r="P7" s="85"/>
      <c r="Q7" s="199" t="s">
        <v>306</v>
      </c>
      <c r="R7" s="91">
        <f>+R6+0.8*J8</f>
        <v>3.3563699592014951</v>
      </c>
      <c r="S7" s="102" t="s">
        <v>307</v>
      </c>
      <c r="T7" s="91">
        <f>0.4*J8</f>
        <v>0.2428839999999485</v>
      </c>
      <c r="U7" s="85"/>
    </row>
    <row r="8" spans="1:21">
      <c r="A8" s="86" t="s">
        <v>51</v>
      </c>
      <c r="B8" s="87"/>
      <c r="C8" s="224">
        <v>2.5000000000000001E-2</v>
      </c>
      <c r="D8" s="224">
        <v>2.5000000000000001E-2</v>
      </c>
      <c r="G8" s="401" t="s">
        <v>308</v>
      </c>
      <c r="H8" s="357"/>
      <c r="I8" s="357"/>
      <c r="J8" s="90">
        <v>0.60720999999987124</v>
      </c>
      <c r="P8" s="85"/>
      <c r="Q8" s="199" t="s">
        <v>309</v>
      </c>
      <c r="R8" s="91">
        <f>+R6+2.55*J8</f>
        <v>4.4189874592012695</v>
      </c>
      <c r="U8" s="85"/>
    </row>
    <row r="9" spans="1:21">
      <c r="A9" s="86" t="s">
        <v>83</v>
      </c>
      <c r="B9" s="87" t="s">
        <v>82</v>
      </c>
      <c r="C9" s="224">
        <v>100</v>
      </c>
      <c r="D9" s="224">
        <v>99</v>
      </c>
      <c r="G9" s="401" t="s">
        <v>310</v>
      </c>
      <c r="H9" s="357"/>
      <c r="I9" s="357"/>
      <c r="J9" s="90">
        <v>0.91061003099108151</v>
      </c>
      <c r="K9" s="89" t="s">
        <v>311</v>
      </c>
      <c r="L9" s="90">
        <f>+J9-C16</f>
        <v>2.7179934046812182E-2</v>
      </c>
      <c r="P9" s="85"/>
      <c r="Q9" s="199" t="s">
        <v>312</v>
      </c>
      <c r="R9" s="91">
        <f>2.15*J8</f>
        <v>1.3055014999997232</v>
      </c>
      <c r="U9" s="85"/>
    </row>
    <row r="10" spans="1:21">
      <c r="G10" s="401" t="s">
        <v>313</v>
      </c>
      <c r="H10" s="357"/>
      <c r="I10" s="357"/>
      <c r="J10" s="91">
        <f>+C9-C23*C7+L9</f>
        <v>100.01861707566599</v>
      </c>
      <c r="K10" s="89" t="s">
        <v>314</v>
      </c>
      <c r="L10" s="90">
        <f>+(C9-D9)</f>
        <v>1</v>
      </c>
      <c r="P10" s="85"/>
      <c r="Q10" s="199" t="s">
        <v>315</v>
      </c>
      <c r="R10" s="91">
        <f>0.8*J8</f>
        <v>0.485767999999897</v>
      </c>
      <c r="U10" s="85"/>
    </row>
    <row r="11" spans="1:21" ht="13.5" thickBot="1">
      <c r="A11" s="88"/>
      <c r="G11" s="401" t="s">
        <v>316</v>
      </c>
      <c r="H11" s="357"/>
      <c r="I11" s="357"/>
      <c r="J11" s="90">
        <f>(J8/(C9-D9))^3</f>
        <v>0.22388074618521858</v>
      </c>
      <c r="P11" s="85"/>
      <c r="Q11" s="199" t="s">
        <v>317</v>
      </c>
      <c r="R11" s="91">
        <f>0.4*J8</f>
        <v>0.2428839999999485</v>
      </c>
      <c r="U11" s="85"/>
    </row>
    <row r="12" spans="1:21" ht="24.75" customHeight="1">
      <c r="A12" s="402" t="s">
        <v>318</v>
      </c>
      <c r="B12" s="403"/>
      <c r="C12" s="403"/>
      <c r="D12" s="403"/>
      <c r="E12" s="403"/>
      <c r="F12" s="403"/>
      <c r="G12" s="88"/>
      <c r="P12" s="85"/>
      <c r="Q12" s="88"/>
      <c r="U12" s="85"/>
    </row>
    <row r="13" spans="1:21" ht="51">
      <c r="A13" s="394" t="s">
        <v>90</v>
      </c>
      <c r="B13" s="395"/>
      <c r="C13" s="94" t="s">
        <v>78</v>
      </c>
      <c r="D13" s="94" t="s">
        <v>79</v>
      </c>
      <c r="G13" s="88"/>
      <c r="I13" s="404" t="s">
        <v>319</v>
      </c>
      <c r="J13" s="395"/>
      <c r="P13" s="85"/>
      <c r="Q13" s="88"/>
      <c r="U13" s="85"/>
    </row>
    <row r="14" spans="1:21">
      <c r="A14" s="95" t="s">
        <v>64</v>
      </c>
      <c r="B14" s="96" t="s">
        <v>82</v>
      </c>
      <c r="C14" s="90">
        <v>0.85416999999874732</v>
      </c>
      <c r="D14" s="90">
        <v>0.85416999999874732</v>
      </c>
      <c r="G14" s="88"/>
      <c r="I14" s="90" t="s">
        <v>303</v>
      </c>
      <c r="J14" s="90">
        <f>4.3*L10*J11^0.27</f>
        <v>2.8706019592015979</v>
      </c>
      <c r="P14" s="85"/>
      <c r="Q14" s="88"/>
      <c r="U14" s="85"/>
    </row>
    <row r="15" spans="1:21">
      <c r="A15" s="97" t="s">
        <v>58</v>
      </c>
      <c r="B15" s="98" t="s">
        <v>92</v>
      </c>
      <c r="C15" s="90">
        <v>0.75768271860399539</v>
      </c>
      <c r="D15" s="90">
        <v>0.75768271860399539</v>
      </c>
      <c r="G15" s="88"/>
      <c r="I15" s="90" t="s">
        <v>320</v>
      </c>
      <c r="J15" s="90">
        <f>0.54*L10*J11^0.425</f>
        <v>0.28585834615588701</v>
      </c>
      <c r="P15" s="85"/>
      <c r="Q15" s="88"/>
      <c r="U15" s="85"/>
    </row>
    <row r="16" spans="1:21">
      <c r="A16" s="88" t="s">
        <v>62</v>
      </c>
      <c r="B16" s="99" t="s">
        <v>93</v>
      </c>
      <c r="C16" s="90">
        <v>0.88343009694426933</v>
      </c>
      <c r="D16" s="90">
        <v>0.88343009694426933</v>
      </c>
      <c r="G16" s="88"/>
      <c r="I16" s="90" t="s">
        <v>312</v>
      </c>
      <c r="J16" s="90">
        <f>1.66*L10*J11^0.27</f>
        <v>1.1081858726220122</v>
      </c>
      <c r="P16" s="85"/>
      <c r="Q16" s="88"/>
      <c r="U16" s="85"/>
    </row>
    <row r="17" spans="1:21">
      <c r="A17" s="396" t="s">
        <v>63</v>
      </c>
      <c r="B17" s="397"/>
      <c r="C17" s="90">
        <v>0.31634249681552368</v>
      </c>
      <c r="D17" s="90">
        <v>0.31634249681552368</v>
      </c>
      <c r="G17" s="88"/>
      <c r="I17" s="90" t="s">
        <v>321</v>
      </c>
      <c r="J17" s="90">
        <f>L10*J11^0.22</f>
        <v>0.71945508101400157</v>
      </c>
      <c r="P17" s="85"/>
      <c r="Q17" s="88"/>
      <c r="U17" s="85"/>
    </row>
    <row r="18" spans="1:21">
      <c r="A18" s="396" t="s">
        <v>322</v>
      </c>
      <c r="B18" s="397"/>
      <c r="C18" s="90">
        <v>100.85416999999875</v>
      </c>
      <c r="D18" s="90">
        <v>99.854169999998746</v>
      </c>
      <c r="G18" s="88"/>
      <c r="I18" s="200" t="s">
        <v>323</v>
      </c>
      <c r="J18" s="90">
        <f>+D14</f>
        <v>0.85416999999874732</v>
      </c>
      <c r="P18" s="85"/>
      <c r="Q18" s="88"/>
      <c r="U18" s="85"/>
    </row>
    <row r="19" spans="1:21">
      <c r="A19" s="396" t="s">
        <v>324</v>
      </c>
      <c r="B19" s="397"/>
      <c r="C19" s="90">
        <v>0.28472048609958245</v>
      </c>
      <c r="D19" s="90">
        <v>0.28472048609958245</v>
      </c>
      <c r="G19" s="88"/>
      <c r="I19" s="90" t="s">
        <v>325</v>
      </c>
      <c r="J19" s="90">
        <f>5*(J16-J15)</f>
        <v>4.1116376323306261</v>
      </c>
      <c r="P19" s="85"/>
      <c r="Q19" s="88"/>
      <c r="U19" s="85"/>
    </row>
    <row r="20" spans="1:21">
      <c r="A20" s="396" t="s">
        <v>326</v>
      </c>
      <c r="B20" s="397"/>
      <c r="C20" s="90">
        <v>1.1000000000000001</v>
      </c>
      <c r="D20" s="90">
        <v>1.1000000000000001</v>
      </c>
      <c r="G20" s="88"/>
      <c r="I20" s="90" t="s">
        <v>327</v>
      </c>
      <c r="J20" s="90">
        <f>+J19+J14</f>
        <v>6.982239591532224</v>
      </c>
      <c r="P20" s="85"/>
      <c r="Q20" s="88"/>
      <c r="U20" s="85"/>
    </row>
    <row r="21" spans="1:21" ht="13.5" thickBot="1">
      <c r="A21" s="405" t="s">
        <v>328</v>
      </c>
      <c r="B21" s="406"/>
      <c r="C21" s="212">
        <f>+C6+2*C5*C14*1.333</f>
        <v>3.2772172199966603</v>
      </c>
      <c r="D21" s="212">
        <f>+D6+2*D5*D14*1.333</f>
        <v>3.2772172199966603</v>
      </c>
      <c r="E21" s="93"/>
      <c r="F21" s="93"/>
      <c r="G21" s="88"/>
      <c r="I21" s="90" t="s">
        <v>329</v>
      </c>
      <c r="J21" s="90">
        <f>+J16-D14</f>
        <v>0.25401587262326486</v>
      </c>
      <c r="P21" s="85"/>
      <c r="Q21" s="88"/>
      <c r="U21" s="85"/>
    </row>
    <row r="22" spans="1:21">
      <c r="A22" s="411" t="s">
        <v>330</v>
      </c>
      <c r="B22" s="412"/>
      <c r="C22" s="412"/>
      <c r="D22" s="412"/>
      <c r="E22" s="412"/>
      <c r="F22" s="412"/>
      <c r="G22" s="88"/>
      <c r="L22" s="213"/>
      <c r="P22" s="85"/>
      <c r="Q22" s="88"/>
      <c r="U22" s="85"/>
    </row>
    <row r="23" spans="1:21" ht="13.5" thickBot="1">
      <c r="A23" s="405" t="s">
        <v>331</v>
      </c>
      <c r="B23" s="406"/>
      <c r="C23" s="409">
        <f>+((C6+2*C5*C14)-J6)*_xlfn.COT(12.5*PI()/180)</f>
        <v>8.5628583808305283</v>
      </c>
      <c r="D23" s="410"/>
      <c r="E23" s="93"/>
      <c r="F23" s="93"/>
      <c r="G23" s="92"/>
      <c r="H23" s="93"/>
      <c r="I23" s="93"/>
      <c r="J23" s="93"/>
      <c r="K23" s="93"/>
      <c r="L23" s="93"/>
      <c r="M23" s="93"/>
      <c r="N23" s="93"/>
      <c r="O23" s="93"/>
      <c r="P23" s="100"/>
      <c r="Q23" s="92"/>
      <c r="R23" s="93"/>
      <c r="S23" s="93"/>
      <c r="T23" s="93"/>
      <c r="U23" s="100"/>
    </row>
    <row r="24" spans="1:21">
      <c r="A24" s="198"/>
      <c r="B24" s="196"/>
      <c r="C24" s="196"/>
      <c r="D24" s="196"/>
      <c r="E24" s="196"/>
      <c r="F24" s="196"/>
      <c r="G24" s="196"/>
      <c r="H24" s="196"/>
      <c r="I24" s="196"/>
      <c r="J24" s="196"/>
      <c r="K24" s="196"/>
      <c r="L24" s="196"/>
      <c r="M24" s="196"/>
      <c r="N24" s="196"/>
      <c r="O24" s="196"/>
      <c r="P24" s="196"/>
      <c r="Q24" s="196"/>
      <c r="R24" s="196"/>
      <c r="S24" s="196"/>
      <c r="T24" s="196"/>
      <c r="U24" s="197"/>
    </row>
    <row r="25" spans="1:21" ht="13.5" thickBot="1">
      <c r="A25" s="88"/>
      <c r="L25" s="101" t="s">
        <v>286</v>
      </c>
      <c r="M25" s="101" t="s">
        <v>287</v>
      </c>
      <c r="N25" s="101" t="s">
        <v>332</v>
      </c>
      <c r="U25" s="85"/>
    </row>
    <row r="26" spans="1:21">
      <c r="A26" s="88"/>
      <c r="K26" s="420" t="s">
        <v>333</v>
      </c>
      <c r="L26" s="225">
        <f>+-C21/2</f>
        <v>-1.6386086099983301</v>
      </c>
      <c r="M26" s="225">
        <v>0</v>
      </c>
      <c r="N26" s="226">
        <f>+N29</f>
        <v>100.92943207566579</v>
      </c>
      <c r="U26" s="85"/>
    </row>
    <row r="27" spans="1:21">
      <c r="A27" s="88"/>
      <c r="K27" s="421"/>
      <c r="L27" s="227">
        <f>+-C6/2</f>
        <v>-0.5</v>
      </c>
      <c r="M27" s="227">
        <v>0</v>
      </c>
      <c r="N27" s="228">
        <f>+C9+20*C7</f>
        <v>100.02</v>
      </c>
      <c r="U27" s="85"/>
    </row>
    <row r="28" spans="1:21">
      <c r="A28" s="88"/>
      <c r="K28" s="421"/>
      <c r="L28" s="227">
        <f>+-L27</f>
        <v>0.5</v>
      </c>
      <c r="M28" s="227">
        <v>0</v>
      </c>
      <c r="N28" s="228">
        <f>+N27</f>
        <v>100.02</v>
      </c>
      <c r="U28" s="85"/>
    </row>
    <row r="29" spans="1:21" ht="13.5" thickBot="1">
      <c r="A29" s="88"/>
      <c r="K29" s="422"/>
      <c r="L29" s="229">
        <f>+-L26</f>
        <v>1.6386086099983301</v>
      </c>
      <c r="M29" s="229">
        <v>0</v>
      </c>
      <c r="N29" s="230">
        <f>+N30</f>
        <v>100.92943207566579</v>
      </c>
      <c r="U29" s="85"/>
    </row>
    <row r="30" spans="1:21">
      <c r="A30" s="88"/>
      <c r="B30" s="83" t="s">
        <v>334</v>
      </c>
      <c r="K30" s="398" t="s">
        <v>335</v>
      </c>
      <c r="L30" s="225">
        <f>+L29</f>
        <v>1.6386086099983301</v>
      </c>
      <c r="M30" s="225">
        <v>20</v>
      </c>
      <c r="N30" s="226">
        <f>+N33</f>
        <v>100.92943207566579</v>
      </c>
      <c r="U30" s="85"/>
    </row>
    <row r="31" spans="1:21">
      <c r="A31" s="88"/>
      <c r="B31" s="83" t="s">
        <v>287</v>
      </c>
      <c r="C31" s="83" t="s">
        <v>336</v>
      </c>
      <c r="D31" s="83" t="s">
        <v>231</v>
      </c>
      <c r="K31" s="399"/>
      <c r="L31" s="227">
        <f>+L28</f>
        <v>0.5</v>
      </c>
      <c r="M31" s="227">
        <v>20</v>
      </c>
      <c r="N31" s="228">
        <f>+C9</f>
        <v>100</v>
      </c>
      <c r="U31" s="85"/>
    </row>
    <row r="32" spans="1:21">
      <c r="A32" s="88"/>
      <c r="B32" s="215">
        <f>+M26</f>
        <v>0</v>
      </c>
      <c r="C32" s="215">
        <f>+N27</f>
        <v>100.02</v>
      </c>
      <c r="D32" s="215">
        <f>+N26</f>
        <v>100.92943207566579</v>
      </c>
      <c r="K32" s="399"/>
      <c r="L32" s="227">
        <f>+L27</f>
        <v>-0.5</v>
      </c>
      <c r="M32" s="227">
        <v>20</v>
      </c>
      <c r="N32" s="228">
        <f>+C9</f>
        <v>100</v>
      </c>
      <c r="U32" s="85"/>
    </row>
    <row r="33" spans="1:21" ht="13.5" thickBot="1">
      <c r="A33" s="88"/>
      <c r="B33" s="215">
        <f>+M30</f>
        <v>20</v>
      </c>
      <c r="C33" s="215">
        <f>+N31</f>
        <v>100</v>
      </c>
      <c r="D33" s="215">
        <f>+N30</f>
        <v>100.92943207566579</v>
      </c>
      <c r="K33" s="400"/>
      <c r="L33" s="229">
        <f>+L26</f>
        <v>-1.6386086099983301</v>
      </c>
      <c r="M33" s="229">
        <v>20</v>
      </c>
      <c r="N33" s="230">
        <f>+N34</f>
        <v>100.92943207566579</v>
      </c>
      <c r="U33" s="85"/>
    </row>
    <row r="34" spans="1:21">
      <c r="A34" s="88"/>
      <c r="B34" s="215">
        <f>+M34</f>
        <v>28.562858380830527</v>
      </c>
      <c r="C34" s="215">
        <f>+N35</f>
        <v>99.991437141619173</v>
      </c>
      <c r="D34" s="215">
        <f>+N34</f>
        <v>100.92943207566579</v>
      </c>
      <c r="K34" s="398" t="s">
        <v>337</v>
      </c>
      <c r="L34" s="225">
        <f>+-J6/2-0.05</f>
        <v>-0.45500000000000002</v>
      </c>
      <c r="M34" s="225">
        <f>+M33+C23</f>
        <v>28.562858380830527</v>
      </c>
      <c r="N34" s="226">
        <f>+N37</f>
        <v>100.92943207566579</v>
      </c>
      <c r="U34" s="85"/>
    </row>
    <row r="35" spans="1:21">
      <c r="A35" s="88"/>
      <c r="B35" s="215">
        <f>+M38</f>
        <v>28.762858380830526</v>
      </c>
      <c r="C35" s="215">
        <f>+N39</f>
        <v>100.01861707566599</v>
      </c>
      <c r="D35" s="215">
        <f>+N38</f>
        <v>100.92943207566579</v>
      </c>
      <c r="K35" s="399"/>
      <c r="L35" s="227">
        <f>+-J6/2</f>
        <v>-0.40500000000000003</v>
      </c>
      <c r="M35" s="227">
        <f>+M34</f>
        <v>28.562858380830527</v>
      </c>
      <c r="N35" s="228">
        <f>+N32-(M34-M33)*C7</f>
        <v>99.991437141619173</v>
      </c>
      <c r="U35" s="85"/>
    </row>
    <row r="36" spans="1:21">
      <c r="A36" s="88"/>
      <c r="B36" s="215">
        <f>+M42</f>
        <v>28.862858380830527</v>
      </c>
      <c r="C36" s="215">
        <f>+N43</f>
        <v>98.764601203042716</v>
      </c>
      <c r="D36" s="215">
        <f>+N42</f>
        <v>100.92943207566579</v>
      </c>
      <c r="K36" s="399"/>
      <c r="L36" s="227">
        <f>+-L35</f>
        <v>0.40500000000000003</v>
      </c>
      <c r="M36" s="227">
        <f>+M35</f>
        <v>28.562858380830527</v>
      </c>
      <c r="N36" s="228">
        <f>+N35</f>
        <v>99.991437141619173</v>
      </c>
      <c r="U36" s="85"/>
    </row>
    <row r="37" spans="1:21" ht="13.5" thickBot="1">
      <c r="A37" s="88"/>
      <c r="B37" s="215">
        <f>+M46</f>
        <v>35.845097972362751</v>
      </c>
      <c r="C37" s="215">
        <f>+N47</f>
        <v>98.764601203042716</v>
      </c>
      <c r="D37" s="215">
        <f>+N46</f>
        <v>100.14866282728349</v>
      </c>
      <c r="K37" s="400"/>
      <c r="L37" s="229">
        <f>+-L34</f>
        <v>0.45500000000000002</v>
      </c>
      <c r="M37" s="229">
        <f>+M36</f>
        <v>28.562858380830527</v>
      </c>
      <c r="N37" s="230">
        <f>+N38</f>
        <v>100.92943207566579</v>
      </c>
      <c r="U37" s="85"/>
    </row>
    <row r="38" spans="1:21">
      <c r="A38" s="88"/>
      <c r="B38" s="215">
        <f>+M50</f>
        <v>36.099113844986014</v>
      </c>
      <c r="C38" s="215">
        <f>+N51</f>
        <v>99.018617075665986</v>
      </c>
      <c r="D38" s="215">
        <f>+N50</f>
        <v>100.14866282728349</v>
      </c>
      <c r="K38" s="398" t="s">
        <v>338</v>
      </c>
      <c r="L38" s="225">
        <f>+L37</f>
        <v>0.45500000000000002</v>
      </c>
      <c r="M38" s="225">
        <f>+M37+0.2</f>
        <v>28.762858380830526</v>
      </c>
      <c r="N38" s="226">
        <f>+N39+J8*1.5</f>
        <v>100.92943207566579</v>
      </c>
      <c r="U38" s="85"/>
    </row>
    <row r="39" spans="1:21">
      <c r="A39" s="88"/>
      <c r="B39" s="215">
        <f>+M54</f>
        <v>44.661972225816541</v>
      </c>
      <c r="C39" s="215">
        <f>+N55</f>
        <v>99.010054217285159</v>
      </c>
      <c r="D39" s="215">
        <f>+N54</f>
        <v>100.14866282728349</v>
      </c>
      <c r="K39" s="399"/>
      <c r="L39" s="227">
        <f>+L36</f>
        <v>0.40500000000000003</v>
      </c>
      <c r="M39" s="227">
        <f>+M38</f>
        <v>28.762858380830526</v>
      </c>
      <c r="N39" s="228">
        <f>N36+L9</f>
        <v>100.01861707566599</v>
      </c>
      <c r="U39" s="85"/>
    </row>
    <row r="40" spans="1:21">
      <c r="A40" s="88"/>
      <c r="B40" s="215">
        <f>+M58</f>
        <v>64.661972225816541</v>
      </c>
      <c r="C40" s="215">
        <f>+N59</f>
        <v>98.990054217285163</v>
      </c>
      <c r="D40" s="215">
        <f>+N58</f>
        <v>100.12866282728349</v>
      </c>
      <c r="K40" s="399"/>
      <c r="L40" s="227">
        <f>+L35</f>
        <v>-0.40500000000000003</v>
      </c>
      <c r="M40" s="227">
        <f>+M39</f>
        <v>28.762858380830526</v>
      </c>
      <c r="N40" s="228">
        <f>+N39</f>
        <v>100.01861707566599</v>
      </c>
      <c r="U40" s="85"/>
    </row>
    <row r="41" spans="1:21" ht="13.5" thickBot="1">
      <c r="A41" s="88"/>
      <c r="K41" s="400"/>
      <c r="L41" s="229">
        <f>+L34</f>
        <v>-0.45500000000000002</v>
      </c>
      <c r="M41" s="229">
        <f>+M40</f>
        <v>28.762858380830526</v>
      </c>
      <c r="N41" s="230">
        <f>+N38</f>
        <v>100.92943207566579</v>
      </c>
      <c r="U41" s="85"/>
    </row>
    <row r="42" spans="1:21">
      <c r="A42" s="88"/>
      <c r="K42" s="398" t="s">
        <v>339</v>
      </c>
      <c r="L42" s="225">
        <f>+L41</f>
        <v>-0.45500000000000002</v>
      </c>
      <c r="M42" s="225">
        <f>+M41+0.1</f>
        <v>28.862858380830527</v>
      </c>
      <c r="N42" s="226">
        <f>+N41</f>
        <v>100.92943207566579</v>
      </c>
      <c r="U42" s="85"/>
    </row>
    <row r="43" spans="1:21">
      <c r="A43" s="88"/>
      <c r="B43" s="216" t="s">
        <v>340</v>
      </c>
      <c r="C43" s="216" t="s">
        <v>341</v>
      </c>
      <c r="D43" s="216" t="s">
        <v>342</v>
      </c>
      <c r="E43" s="216" t="s">
        <v>343</v>
      </c>
      <c r="F43" s="216" t="s">
        <v>344</v>
      </c>
      <c r="K43" s="399"/>
      <c r="L43" s="227">
        <f>+L40</f>
        <v>-0.40500000000000003</v>
      </c>
      <c r="M43" s="227">
        <f>+M42</f>
        <v>28.862858380830527</v>
      </c>
      <c r="N43" s="228">
        <f>+N40-L10-J21</f>
        <v>98.764601203042716</v>
      </c>
      <c r="U43" s="85"/>
    </row>
    <row r="44" spans="1:21">
      <c r="A44" s="88"/>
      <c r="B44" s="215">
        <f>+M26</f>
        <v>0</v>
      </c>
      <c r="C44" s="215">
        <f>+L26</f>
        <v>-1.6386086099983301</v>
      </c>
      <c r="D44" s="215">
        <f>+L27</f>
        <v>-0.5</v>
      </c>
      <c r="E44" s="83">
        <f>+D44*-1</f>
        <v>0.5</v>
      </c>
      <c r="F44" s="83">
        <f>+C44*-1</f>
        <v>1.6386086099983301</v>
      </c>
      <c r="K44" s="399"/>
      <c r="L44" s="227">
        <f>+L39</f>
        <v>0.40500000000000003</v>
      </c>
      <c r="M44" s="227">
        <f>+M43</f>
        <v>28.862858380830527</v>
      </c>
      <c r="N44" s="228">
        <f>+N43</f>
        <v>98.764601203042716</v>
      </c>
      <c r="U44" s="85"/>
    </row>
    <row r="45" spans="1:21" ht="13.5" thickBot="1">
      <c r="A45" s="88"/>
      <c r="B45" s="215">
        <f>+M30</f>
        <v>20</v>
      </c>
      <c r="C45" s="215">
        <f>+L33</f>
        <v>-1.6386086099983301</v>
      </c>
      <c r="D45" s="215">
        <f>+L32</f>
        <v>-0.5</v>
      </c>
      <c r="E45" s="83">
        <f t="shared" ref="E45:E52" si="0">+D45*-1</f>
        <v>0.5</v>
      </c>
      <c r="F45" s="83">
        <f t="shared" ref="F45:F52" si="1">+C45*-1</f>
        <v>1.6386086099983301</v>
      </c>
      <c r="K45" s="400"/>
      <c r="L45" s="229">
        <f>+L38</f>
        <v>0.45500000000000002</v>
      </c>
      <c r="M45" s="229">
        <f>+M44</f>
        <v>28.862858380830527</v>
      </c>
      <c r="N45" s="230">
        <f>+N42</f>
        <v>100.92943207566579</v>
      </c>
      <c r="U45" s="85"/>
    </row>
    <row r="46" spans="1:21">
      <c r="A46" s="88"/>
      <c r="B46" s="215">
        <f>+M34</f>
        <v>28.562858380830527</v>
      </c>
      <c r="C46" s="215">
        <f>+L34</f>
        <v>-0.45500000000000002</v>
      </c>
      <c r="D46" s="215">
        <f>+L35</f>
        <v>-0.40500000000000003</v>
      </c>
      <c r="E46" s="83">
        <f t="shared" si="0"/>
        <v>0.40500000000000003</v>
      </c>
      <c r="F46" s="83">
        <f t="shared" si="1"/>
        <v>0.45500000000000002</v>
      </c>
      <c r="K46" s="398" t="s">
        <v>345</v>
      </c>
      <c r="L46" s="225">
        <f>+L45</f>
        <v>0.45500000000000002</v>
      </c>
      <c r="M46" s="225">
        <f>+M45+J20</f>
        <v>35.845097972362751</v>
      </c>
      <c r="N46" s="226">
        <f>+N50</f>
        <v>100.14866282728349</v>
      </c>
      <c r="U46" s="85"/>
    </row>
    <row r="47" spans="1:21">
      <c r="A47" s="88"/>
      <c r="B47" s="215">
        <f>+M38</f>
        <v>28.762858380830526</v>
      </c>
      <c r="C47" s="215">
        <f>+L41</f>
        <v>-0.45500000000000002</v>
      </c>
      <c r="D47" s="215">
        <f>+L40</f>
        <v>-0.40500000000000003</v>
      </c>
      <c r="E47" s="83">
        <f t="shared" si="0"/>
        <v>0.40500000000000003</v>
      </c>
      <c r="F47" s="83">
        <f t="shared" si="1"/>
        <v>0.45500000000000002</v>
      </c>
      <c r="K47" s="399"/>
      <c r="L47" s="227">
        <f>+L44</f>
        <v>0.40500000000000003</v>
      </c>
      <c r="M47" s="227">
        <f>+M46</f>
        <v>35.845097972362751</v>
      </c>
      <c r="N47" s="228">
        <f>+N44</f>
        <v>98.764601203042716</v>
      </c>
      <c r="U47" s="85"/>
    </row>
    <row r="48" spans="1:21">
      <c r="A48" s="88"/>
      <c r="B48" s="215">
        <f>+M42</f>
        <v>28.862858380830527</v>
      </c>
      <c r="C48" s="215">
        <f>+L42</f>
        <v>-0.45500000000000002</v>
      </c>
      <c r="D48" s="215">
        <f>+L43</f>
        <v>-0.40500000000000003</v>
      </c>
      <c r="E48" s="83">
        <f t="shared" si="0"/>
        <v>0.40500000000000003</v>
      </c>
      <c r="F48" s="83">
        <f t="shared" si="1"/>
        <v>0.45500000000000002</v>
      </c>
      <c r="K48" s="399"/>
      <c r="L48" s="227">
        <f>+L43</f>
        <v>-0.40500000000000003</v>
      </c>
      <c r="M48" s="227">
        <f>+M47</f>
        <v>35.845097972362751</v>
      </c>
      <c r="N48" s="228">
        <f>+N47</f>
        <v>98.764601203042716</v>
      </c>
      <c r="U48" s="85"/>
    </row>
    <row r="49" spans="1:21" ht="13.5" thickBot="1">
      <c r="A49" s="88"/>
      <c r="B49" s="215">
        <f>+M46</f>
        <v>35.845097972362751</v>
      </c>
      <c r="C49" s="215">
        <f>+L49</f>
        <v>-0.45500000000000002</v>
      </c>
      <c r="D49" s="215">
        <f>+L48</f>
        <v>-0.40500000000000003</v>
      </c>
      <c r="E49" s="83">
        <f t="shared" si="0"/>
        <v>0.40500000000000003</v>
      </c>
      <c r="F49" s="83">
        <f t="shared" si="1"/>
        <v>0.45500000000000002</v>
      </c>
      <c r="K49" s="400"/>
      <c r="L49" s="229">
        <f>+L42</f>
        <v>-0.45500000000000002</v>
      </c>
      <c r="M49" s="229">
        <f>+M48</f>
        <v>35.845097972362751</v>
      </c>
      <c r="N49" s="230">
        <f>+N50</f>
        <v>100.14866282728349</v>
      </c>
      <c r="U49" s="85"/>
    </row>
    <row r="50" spans="1:21">
      <c r="A50" s="88"/>
      <c r="B50" s="215">
        <f>+M50</f>
        <v>36.099113844986014</v>
      </c>
      <c r="C50" s="215">
        <f>+L50</f>
        <v>-0.45500000000000002</v>
      </c>
      <c r="D50" s="215">
        <f>+L51</f>
        <v>-0.40500000000000003</v>
      </c>
      <c r="E50" s="83">
        <f t="shared" si="0"/>
        <v>0.40500000000000003</v>
      </c>
      <c r="F50" s="83">
        <f t="shared" si="1"/>
        <v>0.45500000000000002</v>
      </c>
      <c r="K50" s="398" t="s">
        <v>346</v>
      </c>
      <c r="L50" s="225">
        <f>+L49</f>
        <v>-0.45500000000000002</v>
      </c>
      <c r="M50" s="225">
        <f>+M49+J21</f>
        <v>36.099113844986014</v>
      </c>
      <c r="N50" s="226">
        <f>+N53</f>
        <v>100.14866282728349</v>
      </c>
      <c r="U50" s="85"/>
    </row>
    <row r="51" spans="1:21">
      <c r="A51" s="88"/>
      <c r="B51" s="215">
        <f>+M54</f>
        <v>44.661972225816541</v>
      </c>
      <c r="C51" s="215">
        <f>+L57</f>
        <v>-1.6386086099983301</v>
      </c>
      <c r="D51" s="215">
        <f>+L56</f>
        <v>-0.5</v>
      </c>
      <c r="E51" s="83">
        <f t="shared" si="0"/>
        <v>0.5</v>
      </c>
      <c r="F51" s="83">
        <f t="shared" si="1"/>
        <v>1.6386086099983301</v>
      </c>
      <c r="K51" s="399"/>
      <c r="L51" s="227">
        <f>+L48</f>
        <v>-0.40500000000000003</v>
      </c>
      <c r="M51" s="227">
        <f>+M50</f>
        <v>36.099113844986014</v>
      </c>
      <c r="N51" s="228">
        <f>+N48+J21</f>
        <v>99.018617075665986</v>
      </c>
      <c r="U51" s="85"/>
    </row>
    <row r="52" spans="1:21">
      <c r="A52" s="88"/>
      <c r="B52" s="215">
        <f>+M58</f>
        <v>64.661972225816541</v>
      </c>
      <c r="C52" s="215">
        <f>+L58</f>
        <v>-1.6386086099983301</v>
      </c>
      <c r="D52" s="215">
        <f>+L59</f>
        <v>-0.5</v>
      </c>
      <c r="E52" s="83">
        <f t="shared" si="0"/>
        <v>0.5</v>
      </c>
      <c r="F52" s="83">
        <f t="shared" si="1"/>
        <v>1.6386086099983301</v>
      </c>
      <c r="K52" s="399"/>
      <c r="L52" s="227">
        <f>+L47</f>
        <v>0.40500000000000003</v>
      </c>
      <c r="M52" s="227">
        <f>+M51</f>
        <v>36.099113844986014</v>
      </c>
      <c r="N52" s="228">
        <f>+N51</f>
        <v>99.018617075665986</v>
      </c>
      <c r="U52" s="85"/>
    </row>
    <row r="53" spans="1:21" ht="13.5" thickBot="1">
      <c r="A53" s="88"/>
      <c r="K53" s="400"/>
      <c r="L53" s="229">
        <f>+L46</f>
        <v>0.45500000000000002</v>
      </c>
      <c r="M53" s="229">
        <f>+M52</f>
        <v>36.099113844986014</v>
      </c>
      <c r="N53" s="230">
        <f>+N54</f>
        <v>100.14866282728349</v>
      </c>
      <c r="U53" s="85"/>
    </row>
    <row r="54" spans="1:21">
      <c r="A54" s="88"/>
      <c r="K54" s="398" t="s">
        <v>347</v>
      </c>
      <c r="L54" s="225">
        <f>+D21/2</f>
        <v>1.6386086099983301</v>
      </c>
      <c r="M54" s="225">
        <f>+M53+C23</f>
        <v>44.661972225816541</v>
      </c>
      <c r="N54" s="226">
        <f>+N55+D14*1.333</f>
        <v>100.14866282728349</v>
      </c>
      <c r="U54" s="85"/>
    </row>
    <row r="55" spans="1:21">
      <c r="A55" s="88"/>
      <c r="K55" s="399"/>
      <c r="L55" s="227">
        <f>+D6/2</f>
        <v>0.5</v>
      </c>
      <c r="M55" s="227">
        <f>+M54</f>
        <v>44.661972225816541</v>
      </c>
      <c r="N55" s="228">
        <f>+N52-C23*D7</f>
        <v>99.010054217285159</v>
      </c>
      <c r="U55" s="85"/>
    </row>
    <row r="56" spans="1:21">
      <c r="A56" s="88"/>
      <c r="K56" s="399"/>
      <c r="L56" s="227">
        <f>+-L55</f>
        <v>-0.5</v>
      </c>
      <c r="M56" s="227">
        <f>+M55</f>
        <v>44.661972225816541</v>
      </c>
      <c r="N56" s="228">
        <f>+N55</f>
        <v>99.010054217285159</v>
      </c>
      <c r="U56" s="85"/>
    </row>
    <row r="57" spans="1:21" ht="13.5" thickBot="1">
      <c r="A57" s="88"/>
      <c r="K57" s="400"/>
      <c r="L57" s="229">
        <f>-L54</f>
        <v>-1.6386086099983301</v>
      </c>
      <c r="M57" s="229">
        <f>+M56</f>
        <v>44.661972225816541</v>
      </c>
      <c r="N57" s="230">
        <f>+N54</f>
        <v>100.14866282728349</v>
      </c>
      <c r="U57" s="85"/>
    </row>
    <row r="58" spans="1:21">
      <c r="A58" s="88"/>
      <c r="K58" s="398" t="s">
        <v>348</v>
      </c>
      <c r="L58" s="225">
        <f>+L57</f>
        <v>-1.6386086099983301</v>
      </c>
      <c r="M58" s="225">
        <f>+M57+20</f>
        <v>64.661972225816541</v>
      </c>
      <c r="N58" s="226">
        <f>+N59+D14*1.333</f>
        <v>100.12866282728349</v>
      </c>
      <c r="U58" s="85"/>
    </row>
    <row r="59" spans="1:21">
      <c r="A59" s="88"/>
      <c r="K59" s="399"/>
      <c r="L59" s="227">
        <f>+L56</f>
        <v>-0.5</v>
      </c>
      <c r="M59" s="227">
        <f>+M58</f>
        <v>64.661972225816541</v>
      </c>
      <c r="N59" s="228">
        <f>+N56-20*D7</f>
        <v>98.990054217285163</v>
      </c>
      <c r="U59" s="85"/>
    </row>
    <row r="60" spans="1:21">
      <c r="A60" s="88"/>
      <c r="K60" s="399"/>
      <c r="L60" s="227">
        <f>+L55</f>
        <v>0.5</v>
      </c>
      <c r="M60" s="227">
        <f>+M59</f>
        <v>64.661972225816541</v>
      </c>
      <c r="N60" s="228">
        <f>+N59</f>
        <v>98.990054217285163</v>
      </c>
      <c r="U60" s="85"/>
    </row>
    <row r="61" spans="1:21" ht="13.5" thickBot="1">
      <c r="A61" s="88"/>
      <c r="K61" s="400"/>
      <c r="L61" s="229">
        <f>+L54</f>
        <v>1.6386086099983301</v>
      </c>
      <c r="M61" s="229">
        <f>+M60</f>
        <v>64.661972225816541</v>
      </c>
      <c r="N61" s="230">
        <f>+N58</f>
        <v>100.12866282728349</v>
      </c>
      <c r="U61" s="85"/>
    </row>
    <row r="62" spans="1:21">
      <c r="A62" s="88"/>
      <c r="U62" s="85"/>
    </row>
    <row r="63" spans="1:21" ht="13.5" thickBot="1">
      <c r="A63" s="92"/>
      <c r="B63" s="93"/>
      <c r="C63" s="93"/>
      <c r="D63" s="93"/>
      <c r="E63" s="93"/>
      <c r="F63" s="93"/>
      <c r="G63" s="93"/>
      <c r="H63" s="93"/>
      <c r="I63" s="93"/>
      <c r="J63" s="93"/>
      <c r="K63" s="93"/>
      <c r="L63" s="93"/>
      <c r="M63" s="93"/>
      <c r="N63" s="93"/>
      <c r="O63" s="93"/>
      <c r="P63" s="93"/>
      <c r="Q63" s="93"/>
      <c r="R63" s="93"/>
      <c r="S63" s="93"/>
      <c r="T63" s="93"/>
      <c r="U63" s="100"/>
    </row>
    <row r="65" spans="1:4">
      <c r="A65" s="419"/>
      <c r="B65" s="419"/>
      <c r="C65" s="419"/>
      <c r="D65" s="419"/>
    </row>
    <row r="88" spans="14:31">
      <c r="N88" s="419"/>
      <c r="O88" s="419"/>
      <c r="P88" s="419"/>
      <c r="Q88" s="419"/>
      <c r="V88" s="419"/>
      <c r="W88" s="419"/>
      <c r="X88" s="419"/>
      <c r="Y88" s="419"/>
      <c r="AB88" s="419" t="s">
        <v>349</v>
      </c>
      <c r="AC88" s="419"/>
      <c r="AD88" s="419"/>
      <c r="AE88" s="419"/>
    </row>
    <row r="89" spans="14:31">
      <c r="AB89" s="83" t="s">
        <v>350</v>
      </c>
      <c r="AC89" s="83" t="s">
        <v>73</v>
      </c>
      <c r="AD89" s="83" t="s">
        <v>43</v>
      </c>
      <c r="AE89" s="83" t="s">
        <v>213</v>
      </c>
    </row>
    <row r="90" spans="14:31">
      <c r="AB90" s="83">
        <v>0</v>
      </c>
      <c r="AC90" s="83">
        <v>487465.83978796302</v>
      </c>
      <c r="AD90" s="83">
        <v>1097190.3823943001</v>
      </c>
      <c r="AE90" s="83">
        <v>1078.35400390625</v>
      </c>
    </row>
    <row r="91" spans="14:31">
      <c r="AB91" s="83">
        <v>0.10391906152086</v>
      </c>
      <c r="AC91" s="83">
        <v>487465.86719001998</v>
      </c>
      <c r="AD91" s="83">
        <v>1097190.4826354999</v>
      </c>
      <c r="AE91" s="83">
        <v>1078.31604003906</v>
      </c>
    </row>
    <row r="92" spans="14:31">
      <c r="AB92" s="83">
        <v>0.207838123041721</v>
      </c>
      <c r="AC92" s="83">
        <v>487465.89459207701</v>
      </c>
      <c r="AD92" s="83">
        <v>1097190.5828767</v>
      </c>
      <c r="AE92" s="83">
        <v>1078.30102539062</v>
      </c>
    </row>
    <row r="93" spans="14:31">
      <c r="AB93" s="83">
        <v>0.311757184562582</v>
      </c>
      <c r="AC93" s="83">
        <v>487465.92199413403</v>
      </c>
      <c r="AD93" s="83">
        <v>1097190.6831179</v>
      </c>
      <c r="AE93" s="83">
        <v>1078.291015625</v>
      </c>
    </row>
    <row r="94" spans="14:31">
      <c r="AB94" s="83">
        <v>0.415676246083443</v>
      </c>
      <c r="AC94" s="83">
        <v>487465.94939619099</v>
      </c>
      <c r="AD94" s="83">
        <v>1097190.7833591099</v>
      </c>
      <c r="AE94" s="83">
        <v>1078.28405761718</v>
      </c>
    </row>
    <row r="95" spans="14:31">
      <c r="AB95" s="83">
        <v>0.51959530760430395</v>
      </c>
      <c r="AC95" s="83">
        <v>487465.97679824801</v>
      </c>
      <c r="AD95" s="83">
        <v>1097190.88360031</v>
      </c>
      <c r="AE95" s="83">
        <v>1078.21203613281</v>
      </c>
    </row>
    <row r="96" spans="14:31">
      <c r="AB96" s="83">
        <v>0.623514369125164</v>
      </c>
      <c r="AC96" s="83">
        <v>487466.00420030497</v>
      </c>
      <c r="AD96" s="83">
        <v>1097190.98384151</v>
      </c>
      <c r="AE96" s="83">
        <v>1078.19702148437</v>
      </c>
    </row>
    <row r="97" spans="28:31">
      <c r="AB97" s="83">
        <v>0.72743343064602495</v>
      </c>
      <c r="AC97" s="83">
        <v>487466.031602362</v>
      </c>
      <c r="AD97" s="83">
        <v>1097191.0840827101</v>
      </c>
      <c r="AE97" s="83">
        <v>1078.19702148437</v>
      </c>
    </row>
    <row r="98" spans="28:31">
      <c r="AB98" s="83">
        <v>0.831352492166886</v>
      </c>
      <c r="AC98" s="83">
        <v>487466.05900441803</v>
      </c>
      <c r="AD98" s="83">
        <v>1097191.1843239099</v>
      </c>
      <c r="AE98" s="83">
        <v>1078.16296386718</v>
      </c>
    </row>
    <row r="99" spans="28:31">
      <c r="AB99" s="83">
        <v>0.93527155368774695</v>
      </c>
      <c r="AC99" s="83">
        <v>487466.08640647499</v>
      </c>
      <c r="AD99" s="83">
        <v>1097191.28456512</v>
      </c>
      <c r="AE99" s="83">
        <v>1078.16198730468</v>
      </c>
    </row>
    <row r="100" spans="28:31">
      <c r="AB100" s="83">
        <v>1.0391906152085999</v>
      </c>
      <c r="AC100" s="83">
        <v>487466.11380853201</v>
      </c>
      <c r="AD100" s="83">
        <v>1097191.3848063201</v>
      </c>
      <c r="AE100" s="83">
        <v>1078.166015625</v>
      </c>
    </row>
    <row r="101" spans="28:31">
      <c r="AB101" s="83">
        <v>1.14310967672946</v>
      </c>
      <c r="AC101" s="83">
        <v>487466.14121058898</v>
      </c>
      <c r="AD101" s="83">
        <v>1097191.4850475199</v>
      </c>
      <c r="AE101" s="83">
        <v>1078.166015625</v>
      </c>
    </row>
    <row r="102" spans="28:31">
      <c r="AB102" s="83">
        <v>1.24702873825032</v>
      </c>
      <c r="AC102" s="83">
        <v>487466.168612646</v>
      </c>
      <c r="AD102" s="83">
        <v>1097191.58528872</v>
      </c>
      <c r="AE102" s="83">
        <v>1078.15698242187</v>
      </c>
    </row>
    <row r="103" spans="28:31">
      <c r="AB103" s="83">
        <v>1.3509477997711901</v>
      </c>
      <c r="AC103" s="83">
        <v>487466.19601470302</v>
      </c>
      <c r="AD103" s="83">
        <v>1097191.6855299301</v>
      </c>
      <c r="AE103" s="83">
        <v>1078.15502929687</v>
      </c>
    </row>
    <row r="104" spans="28:31">
      <c r="AB104" s="83">
        <v>1.4548668612920499</v>
      </c>
      <c r="AC104" s="83">
        <v>487466.22341675998</v>
      </c>
      <c r="AD104" s="83">
        <v>1097191.7857711299</v>
      </c>
      <c r="AE104" s="83">
        <v>1078.15100097656</v>
      </c>
    </row>
    <row r="105" spans="28:31">
      <c r="AB105" s="83">
        <v>1.55878592281291</v>
      </c>
      <c r="AC105" s="83">
        <v>487466.250818817</v>
      </c>
      <c r="AD105" s="83">
        <v>1097191.88601233</v>
      </c>
      <c r="AE105" s="83">
        <v>1078.15100097656</v>
      </c>
    </row>
    <row r="106" spans="28:31">
      <c r="AB106" s="83">
        <v>1.66270498433377</v>
      </c>
      <c r="AC106" s="83">
        <v>487466.27822087402</v>
      </c>
      <c r="AD106" s="83">
        <v>1097191.98625353</v>
      </c>
      <c r="AE106" s="83">
        <v>1078.13793945312</v>
      </c>
    </row>
    <row r="107" spans="28:31">
      <c r="AB107" s="83">
        <v>1.7666240458546301</v>
      </c>
      <c r="AC107" s="83">
        <v>487466.30562293099</v>
      </c>
      <c r="AD107" s="83">
        <v>1097192.0864947301</v>
      </c>
      <c r="AE107" s="83">
        <v>1078.13598632812</v>
      </c>
    </row>
    <row r="108" spans="28:31">
      <c r="AB108" s="83">
        <v>1.8705431073754899</v>
      </c>
      <c r="AC108" s="83">
        <v>487466.33302498801</v>
      </c>
      <c r="AD108" s="83">
        <v>1097192.1867359399</v>
      </c>
      <c r="AE108" s="83">
        <v>1078.14294433593</v>
      </c>
    </row>
    <row r="109" spans="28:31">
      <c r="AB109" s="83">
        <v>1.97446216889635</v>
      </c>
      <c r="AC109" s="83">
        <v>487466.36042704497</v>
      </c>
      <c r="AD109" s="83">
        <v>1097192.28697714</v>
      </c>
      <c r="AE109" s="83">
        <v>1078.13598632812</v>
      </c>
    </row>
    <row r="110" spans="28:31">
      <c r="AB110" s="83">
        <v>2.07838123041721</v>
      </c>
      <c r="AC110" s="83">
        <v>487466.38782910199</v>
      </c>
      <c r="AD110" s="83">
        <v>1097192.3872183401</v>
      </c>
      <c r="AE110" s="83">
        <v>1078.13793945312</v>
      </c>
    </row>
    <row r="111" spans="28:31">
      <c r="AB111" s="83">
        <v>2.1823002919380698</v>
      </c>
      <c r="AC111" s="83">
        <v>487466.41523115902</v>
      </c>
      <c r="AD111" s="83">
        <v>1097192.4874595399</v>
      </c>
      <c r="AE111" s="83">
        <v>1078.13793945312</v>
      </c>
    </row>
    <row r="112" spans="28:31">
      <c r="AB112" s="83">
        <v>2.2862193534589301</v>
      </c>
      <c r="AC112" s="83">
        <v>487466.44263321499</v>
      </c>
      <c r="AD112" s="83">
        <v>1097192.58770075</v>
      </c>
      <c r="AE112" s="83">
        <v>1078.13500976562</v>
      </c>
    </row>
    <row r="113" spans="28:31">
      <c r="AB113" s="83">
        <v>2.39013841497979</v>
      </c>
      <c r="AC113" s="83">
        <v>487466.47003527201</v>
      </c>
      <c r="AD113" s="83">
        <v>1097192.68794195</v>
      </c>
      <c r="AE113" s="83">
        <v>1078.125</v>
      </c>
    </row>
    <row r="114" spans="28:31">
      <c r="AB114" s="83">
        <v>2.4940574765006498</v>
      </c>
      <c r="AC114" s="83">
        <v>487466.49743732897</v>
      </c>
      <c r="AD114" s="83">
        <v>1097192.7881831501</v>
      </c>
      <c r="AE114" s="83">
        <v>1078.12097167968</v>
      </c>
    </row>
    <row r="115" spans="28:31">
      <c r="AB115" s="83">
        <v>2.5979765380215198</v>
      </c>
      <c r="AC115" s="83">
        <v>487466.52483938599</v>
      </c>
      <c r="AD115" s="83">
        <v>1097192.8884243499</v>
      </c>
      <c r="AE115" s="83">
        <v>1078.10705566406</v>
      </c>
    </row>
    <row r="116" spans="28:31">
      <c r="AB116" s="83">
        <v>2.7018955995423801</v>
      </c>
      <c r="AC116" s="83">
        <v>487466.55224144302</v>
      </c>
      <c r="AD116" s="83">
        <v>1097192.98866555</v>
      </c>
      <c r="AE116" s="83">
        <v>1078.09204101562</v>
      </c>
    </row>
    <row r="117" spans="28:31">
      <c r="AB117" s="83">
        <v>2.80581466106324</v>
      </c>
      <c r="AC117" s="83">
        <v>487466.57964349998</v>
      </c>
      <c r="AD117" s="83">
        <v>1097193.0889067601</v>
      </c>
      <c r="AE117" s="83">
        <v>1078.0810546875</v>
      </c>
    </row>
    <row r="118" spans="28:31">
      <c r="AB118" s="83">
        <v>2.9097337225840998</v>
      </c>
      <c r="AC118" s="83">
        <v>487466.607045557</v>
      </c>
      <c r="AD118" s="83">
        <v>1097193.1891479599</v>
      </c>
      <c r="AE118" s="83">
        <v>1078.06799316406</v>
      </c>
    </row>
    <row r="119" spans="28:31">
      <c r="AB119" s="83">
        <v>3.0136527841049601</v>
      </c>
      <c r="AC119" s="83">
        <v>487466.63444761402</v>
      </c>
      <c r="AD119" s="83">
        <v>1097193.28938916</v>
      </c>
      <c r="AE119" s="83">
        <v>1078.05395507812</v>
      </c>
    </row>
    <row r="120" spans="28:31">
      <c r="AB120" s="83">
        <v>3.1175718456258199</v>
      </c>
      <c r="AC120" s="83">
        <v>487466.66184967099</v>
      </c>
      <c r="AD120" s="83">
        <v>1097193.3896303601</v>
      </c>
      <c r="AE120" s="83">
        <v>1078.03002929687</v>
      </c>
    </row>
    <row r="121" spans="28:31">
      <c r="AB121" s="83">
        <v>3.2214909071466802</v>
      </c>
      <c r="AC121" s="83">
        <v>487466.68925172801</v>
      </c>
      <c r="AD121" s="83">
        <v>1097193.4898715699</v>
      </c>
      <c r="AE121" s="83">
        <v>1078.01293945312</v>
      </c>
    </row>
    <row r="122" spans="28:31">
      <c r="AB122" s="83">
        <v>3.32540996866754</v>
      </c>
      <c r="AC122" s="83">
        <v>487466.71665378503</v>
      </c>
      <c r="AD122" s="83">
        <v>1097193.59011277</v>
      </c>
      <c r="AE122" s="83">
        <v>1078.01293945312</v>
      </c>
    </row>
    <row r="123" spans="28:31">
      <c r="AB123" s="83">
        <v>3.4293290301883999</v>
      </c>
      <c r="AC123" s="83">
        <v>487466.74405584199</v>
      </c>
      <c r="AD123" s="83">
        <v>1097193.69035397</v>
      </c>
      <c r="AE123" s="83">
        <v>1077.9990234375</v>
      </c>
    </row>
    <row r="124" spans="28:31">
      <c r="AB124" s="83">
        <v>3.5332480917092601</v>
      </c>
      <c r="AC124" s="83">
        <v>487466.77145789901</v>
      </c>
      <c r="AD124" s="83">
        <v>1097193.7905951701</v>
      </c>
      <c r="AE124" s="83">
        <v>1077.99499511718</v>
      </c>
    </row>
    <row r="125" spans="28:31">
      <c r="AB125" s="83">
        <v>3.63716715323012</v>
      </c>
      <c r="AC125" s="83">
        <v>487466.79885995598</v>
      </c>
      <c r="AD125" s="83">
        <v>1097193.8908363699</v>
      </c>
      <c r="AE125" s="83">
        <v>1077.98901367187</v>
      </c>
    </row>
    <row r="126" spans="28:31">
      <c r="AB126" s="83">
        <v>3.7410862147509798</v>
      </c>
      <c r="AC126" s="83">
        <v>487466.82626201201</v>
      </c>
      <c r="AD126" s="83">
        <v>1097193.99107758</v>
      </c>
      <c r="AE126" s="83">
        <v>1077.97998046875</v>
      </c>
    </row>
    <row r="127" spans="28:31">
      <c r="AB127" s="83">
        <v>3.8450052762718498</v>
      </c>
      <c r="AC127" s="83">
        <v>487466.85366406903</v>
      </c>
      <c r="AD127" s="83">
        <v>1097194.0913187801</v>
      </c>
      <c r="AE127" s="83">
        <v>1077.97094726562</v>
      </c>
    </row>
    <row r="128" spans="28:31">
      <c r="AB128" s="83">
        <v>3.9489243377927101</v>
      </c>
      <c r="AC128" s="83">
        <v>487466.88106612599</v>
      </c>
      <c r="AD128" s="83">
        <v>1097194.1915599799</v>
      </c>
      <c r="AE128" s="83">
        <v>1077.95300292968</v>
      </c>
    </row>
    <row r="129" spans="28:31">
      <c r="AB129" s="83">
        <v>4.05284339931357</v>
      </c>
      <c r="AC129" s="83">
        <v>487466.90846818301</v>
      </c>
      <c r="AD129" s="83">
        <v>1097194.29180118</v>
      </c>
      <c r="AE129" s="83">
        <v>1077.93298339843</v>
      </c>
    </row>
    <row r="130" spans="28:31">
      <c r="AB130" s="83">
        <v>4.1567624608344298</v>
      </c>
      <c r="AC130" s="83">
        <v>487466.93587023998</v>
      </c>
      <c r="AD130" s="83">
        <v>1097194.3920423901</v>
      </c>
      <c r="AE130" s="83">
        <v>1077.90405273437</v>
      </c>
    </row>
    <row r="131" spans="28:31">
      <c r="AB131" s="83">
        <v>4.2606815223552896</v>
      </c>
      <c r="AC131" s="83">
        <v>487466.963272297</v>
      </c>
      <c r="AD131" s="83">
        <v>1097194.4922835899</v>
      </c>
      <c r="AE131" s="83">
        <v>1077.91394042968</v>
      </c>
    </row>
    <row r="132" spans="28:31">
      <c r="AB132" s="83">
        <v>4.3646005838761504</v>
      </c>
      <c r="AC132" s="83">
        <v>487466.99067435402</v>
      </c>
      <c r="AD132" s="83">
        <v>1097194.59252479</v>
      </c>
      <c r="AE132" s="83">
        <v>1077.89697265625</v>
      </c>
    </row>
    <row r="133" spans="28:31">
      <c r="AB133" s="83">
        <v>4.4685196453970102</v>
      </c>
      <c r="AC133" s="83">
        <v>487467.01807641098</v>
      </c>
      <c r="AD133" s="83">
        <v>1097194.69276599</v>
      </c>
      <c r="AE133" s="83">
        <v>1077.88000488281</v>
      </c>
    </row>
    <row r="134" spans="28:31">
      <c r="AB134" s="83">
        <v>4.57243870691787</v>
      </c>
      <c r="AC134" s="83">
        <v>487467.045478468</v>
      </c>
      <c r="AD134" s="83">
        <v>1097194.7930071999</v>
      </c>
      <c r="AE134" s="83">
        <v>1077.85998535156</v>
      </c>
    </row>
    <row r="135" spans="28:31">
      <c r="AB135" s="83">
        <v>4.6763577684387299</v>
      </c>
      <c r="AC135" s="83">
        <v>487467.07288052503</v>
      </c>
      <c r="AD135" s="83">
        <v>1097194.8932484</v>
      </c>
      <c r="AE135" s="83">
        <v>1077.85705566406</v>
      </c>
    </row>
    <row r="136" spans="28:31">
      <c r="AB136" s="83">
        <v>4.7802768299595897</v>
      </c>
      <c r="AC136" s="83">
        <v>487467.10028258199</v>
      </c>
      <c r="AD136" s="83">
        <v>1097194.9934896</v>
      </c>
      <c r="AE136" s="83">
        <v>1077.8349609375</v>
      </c>
    </row>
    <row r="137" spans="28:31">
      <c r="AB137" s="83">
        <v>4.8841958914804504</v>
      </c>
      <c r="AC137" s="83">
        <v>487467.12768463901</v>
      </c>
      <c r="AD137" s="83">
        <v>1097195.0937308001</v>
      </c>
      <c r="AE137" s="83">
        <v>1077.81994628906</v>
      </c>
    </row>
    <row r="138" spans="28:31">
      <c r="AB138" s="83">
        <v>4.9881149530013102</v>
      </c>
      <c r="AC138" s="83">
        <v>487467.15508669597</v>
      </c>
      <c r="AD138" s="83">
        <v>1097195.1939719999</v>
      </c>
      <c r="AE138" s="83">
        <v>1077.81799316406</v>
      </c>
    </row>
    <row r="139" spans="28:31">
      <c r="AB139" s="83">
        <v>5.0920340145221799</v>
      </c>
      <c r="AC139" s="83">
        <v>487467.18248875299</v>
      </c>
      <c r="AD139" s="83">
        <v>1097195.29421321</v>
      </c>
      <c r="AE139" s="83">
        <v>1077.78698730468</v>
      </c>
    </row>
    <row r="140" spans="28:31">
      <c r="AB140" s="83">
        <v>5.1959530760430397</v>
      </c>
      <c r="AC140" s="83">
        <v>487467.20989080903</v>
      </c>
      <c r="AD140" s="83">
        <v>1097195.3944544101</v>
      </c>
      <c r="AE140" s="83">
        <v>1077.74194335937</v>
      </c>
    </row>
    <row r="141" spans="28:31">
      <c r="AB141" s="83">
        <v>5.2998721375639004</v>
      </c>
      <c r="AC141" s="83">
        <v>487467.23729286599</v>
      </c>
      <c r="AD141" s="83">
        <v>1097195.4946956099</v>
      </c>
      <c r="AE141" s="83">
        <v>1077.70104980468</v>
      </c>
    </row>
    <row r="142" spans="28:31">
      <c r="AB142" s="83">
        <v>5.4037911990847602</v>
      </c>
      <c r="AC142" s="83">
        <v>487467.26469492301</v>
      </c>
      <c r="AD142" s="83">
        <v>1097195.59493681</v>
      </c>
      <c r="AE142" s="83">
        <v>1077.67297363281</v>
      </c>
    </row>
    <row r="143" spans="28:31">
      <c r="AB143" s="83">
        <v>5.5077102606056201</v>
      </c>
      <c r="AC143" s="83">
        <v>487467.29209697997</v>
      </c>
      <c r="AD143" s="83">
        <v>1097195.69517801</v>
      </c>
      <c r="AE143" s="83">
        <v>1077.63305664062</v>
      </c>
    </row>
    <row r="144" spans="28:31">
      <c r="AB144" s="83">
        <v>5.6116293221264799</v>
      </c>
      <c r="AC144" s="83">
        <v>487467.319499037</v>
      </c>
      <c r="AD144" s="83">
        <v>1097195.7954192201</v>
      </c>
      <c r="AE144" s="83">
        <v>1077.58605957031</v>
      </c>
    </row>
    <row r="145" spans="28:31">
      <c r="AB145" s="83">
        <v>5.7155483836473397</v>
      </c>
      <c r="AC145" s="83">
        <v>487467.34690109402</v>
      </c>
      <c r="AD145" s="83">
        <v>1097195.8956604199</v>
      </c>
      <c r="AE145" s="83">
        <v>1077.58703613281</v>
      </c>
    </row>
    <row r="146" spans="28:31">
      <c r="AB146" s="83">
        <v>5.8194674451681996</v>
      </c>
      <c r="AC146" s="83">
        <v>487467.37430315098</v>
      </c>
      <c r="AD146" s="83">
        <v>1097195.99590162</v>
      </c>
      <c r="AE146" s="83">
        <v>1077.57800292968</v>
      </c>
    </row>
    <row r="147" spans="28:31">
      <c r="AB147" s="83">
        <v>5.9233865066890603</v>
      </c>
      <c r="AC147" s="83">
        <v>487467.401705208</v>
      </c>
      <c r="AD147" s="83">
        <v>1097196.0961428201</v>
      </c>
      <c r="AE147" s="83">
        <v>1077.57995605468</v>
      </c>
    </row>
    <row r="148" spans="28:31">
      <c r="AB148" s="83">
        <v>6.0273055682099201</v>
      </c>
      <c r="AC148" s="83">
        <v>487467.42910726502</v>
      </c>
      <c r="AD148" s="83">
        <v>1097196.1963840299</v>
      </c>
      <c r="AE148" s="83">
        <v>1077.57995605468</v>
      </c>
    </row>
    <row r="149" spans="28:31">
      <c r="AB149" s="83">
        <v>6.13122462973078</v>
      </c>
      <c r="AC149" s="83">
        <v>487467.45650932199</v>
      </c>
      <c r="AD149" s="83">
        <v>1097196.29662523</v>
      </c>
      <c r="AE149" s="83">
        <v>1077.54504394531</v>
      </c>
    </row>
    <row r="150" spans="28:31">
      <c r="AB150" s="83">
        <v>6.2351436912516398</v>
      </c>
      <c r="AC150" s="83">
        <v>487467.48391137901</v>
      </c>
      <c r="AD150" s="83">
        <v>1097196.3968664301</v>
      </c>
      <c r="AE150" s="83">
        <v>1077.53601074218</v>
      </c>
    </row>
    <row r="151" spans="28:31">
      <c r="AB151" s="83">
        <v>6.3390627527724996</v>
      </c>
      <c r="AC151" s="83">
        <v>487467.51131343603</v>
      </c>
      <c r="AD151" s="83">
        <v>1097196.4971076299</v>
      </c>
      <c r="AE151" s="83">
        <v>1077.53601074218</v>
      </c>
    </row>
    <row r="152" spans="28:31">
      <c r="AB152" s="83">
        <v>6.4429818142933701</v>
      </c>
      <c r="AC152" s="83">
        <v>487467.53871549299</v>
      </c>
      <c r="AD152" s="83">
        <v>1097196.59734884</v>
      </c>
      <c r="AE152" s="83">
        <v>1077.52697753906</v>
      </c>
    </row>
    <row r="153" spans="28:31">
      <c r="AB153" s="83">
        <v>6.54690087581423</v>
      </c>
      <c r="AC153" s="83">
        <v>487467.56611755001</v>
      </c>
      <c r="AD153" s="83">
        <v>1097196.69759004</v>
      </c>
      <c r="AE153" s="83">
        <v>1077.49304199218</v>
      </c>
    </row>
    <row r="154" spans="28:31">
      <c r="AB154" s="83">
        <v>6.6508199373350898</v>
      </c>
      <c r="AC154" s="83">
        <v>487467.59351960599</v>
      </c>
      <c r="AD154" s="83">
        <v>1097196.7978312401</v>
      </c>
      <c r="AE154" s="83">
        <v>1077.48706054687</v>
      </c>
    </row>
    <row r="155" spans="28:31">
      <c r="AB155" s="83">
        <v>6.7547389988559496</v>
      </c>
      <c r="AC155" s="83">
        <v>487467.62092166301</v>
      </c>
      <c r="AD155" s="83">
        <v>1097196.8980724399</v>
      </c>
      <c r="AE155" s="83">
        <v>1077.47302246093</v>
      </c>
    </row>
    <row r="156" spans="28:31">
      <c r="AB156" s="83">
        <v>6.8586580603768104</v>
      </c>
      <c r="AC156" s="83">
        <v>487467.64832371997</v>
      </c>
      <c r="AD156" s="83">
        <v>1097196.99831364</v>
      </c>
      <c r="AE156" s="83">
        <v>1077.458984375</v>
      </c>
    </row>
    <row r="157" spans="28:31">
      <c r="AB157" s="83">
        <v>6.9625771218976702</v>
      </c>
      <c r="AC157" s="83">
        <v>487467.67572577699</v>
      </c>
      <c r="AD157" s="83">
        <v>1097197.0985548501</v>
      </c>
      <c r="AE157" s="83">
        <v>1077.42895507812</v>
      </c>
    </row>
    <row r="158" spans="28:31">
      <c r="AB158" s="83">
        <v>7.06649618341853</v>
      </c>
      <c r="AC158" s="83">
        <v>487467.70312783401</v>
      </c>
      <c r="AD158" s="83">
        <v>1097197.1987960499</v>
      </c>
      <c r="AE158" s="83">
        <v>1077.4169921875</v>
      </c>
    </row>
    <row r="159" spans="28:31">
      <c r="AB159" s="83">
        <v>7.1704152449393899</v>
      </c>
      <c r="AC159" s="83">
        <v>487467.73052989098</v>
      </c>
      <c r="AD159" s="83">
        <v>1097197.29903725</v>
      </c>
      <c r="AE159" s="83">
        <v>1077.4169921875</v>
      </c>
    </row>
    <row r="160" spans="28:31">
      <c r="AB160" s="83">
        <v>7.2743343064602497</v>
      </c>
      <c r="AC160" s="83">
        <v>487467.757931948</v>
      </c>
      <c r="AD160" s="83">
        <v>1097197.3992784501</v>
      </c>
      <c r="AE160" s="83">
        <v>1077.39794921875</v>
      </c>
    </row>
    <row r="161" spans="28:31">
      <c r="AB161" s="83">
        <v>7.3782533679811104</v>
      </c>
      <c r="AC161" s="83">
        <v>487467.78533400502</v>
      </c>
      <c r="AD161" s="83">
        <v>1097197.4995196599</v>
      </c>
      <c r="AE161" s="83">
        <v>1077.39196777343</v>
      </c>
    </row>
    <row r="162" spans="28:31">
      <c r="AB162" s="83">
        <v>7.4821724295019703</v>
      </c>
      <c r="AC162" s="83">
        <v>487467.81273606198</v>
      </c>
      <c r="AD162" s="83">
        <v>1097197.59976086</v>
      </c>
      <c r="AE162" s="83">
        <v>1077.38598632812</v>
      </c>
    </row>
    <row r="163" spans="28:31">
      <c r="AB163" s="83">
        <v>7.5860914910228301</v>
      </c>
      <c r="AC163" s="83">
        <v>487467.84013811901</v>
      </c>
      <c r="AD163" s="83">
        <v>1097197.70000206</v>
      </c>
      <c r="AE163" s="83">
        <v>1077.36303710937</v>
      </c>
    </row>
    <row r="164" spans="28:31">
      <c r="AB164" s="83">
        <v>7.6900105525436997</v>
      </c>
      <c r="AC164" s="83">
        <v>487467.86754017603</v>
      </c>
      <c r="AD164" s="83">
        <v>1097197.8002432601</v>
      </c>
      <c r="AE164" s="83">
        <v>1077.34899902343</v>
      </c>
    </row>
    <row r="165" spans="28:31">
      <c r="AB165" s="83">
        <v>7.7939296140645604</v>
      </c>
      <c r="AC165" s="83">
        <v>487467.89494223299</v>
      </c>
      <c r="AD165" s="83">
        <v>1097197.9004844599</v>
      </c>
      <c r="AE165" s="83">
        <v>1077.333984375</v>
      </c>
    </row>
    <row r="166" spans="28:31">
      <c r="AB166" s="83">
        <v>7.8978486755854203</v>
      </c>
      <c r="AC166" s="83">
        <v>487467.92234429001</v>
      </c>
      <c r="AD166" s="83">
        <v>1097198.00072567</v>
      </c>
      <c r="AE166" s="83">
        <v>1077.31994628906</v>
      </c>
    </row>
    <row r="167" spans="28:31">
      <c r="AB167" s="83">
        <v>8.0017677371062792</v>
      </c>
      <c r="AC167" s="83">
        <v>487467.94974634697</v>
      </c>
      <c r="AD167" s="83">
        <v>1097198.1009668701</v>
      </c>
      <c r="AE167" s="83">
        <v>1077.30700683593</v>
      </c>
    </row>
    <row r="168" spans="28:31">
      <c r="AB168" s="83">
        <v>8.1056867986271399</v>
      </c>
      <c r="AC168" s="83">
        <v>487467.97714840301</v>
      </c>
      <c r="AD168" s="83">
        <v>1097198.2012080699</v>
      </c>
      <c r="AE168" s="83">
        <v>1077.30395507812</v>
      </c>
    </row>
    <row r="169" spans="28:31">
      <c r="AB169" s="83">
        <v>8.2096058601480006</v>
      </c>
      <c r="AC169" s="83">
        <v>487468.00455046003</v>
      </c>
      <c r="AD169" s="83">
        <v>1097198.30144927</v>
      </c>
      <c r="AE169" s="83">
        <v>1077.29296875</v>
      </c>
    </row>
    <row r="170" spans="28:31">
      <c r="AB170" s="83">
        <v>8.3135249216688596</v>
      </c>
      <c r="AC170" s="83">
        <v>487468.03195251699</v>
      </c>
      <c r="AD170" s="83">
        <v>1097198.4016904701</v>
      </c>
      <c r="AE170" s="83">
        <v>1077.28405761718</v>
      </c>
    </row>
    <row r="171" spans="28:31">
      <c r="AB171" s="83">
        <v>8.4174439831897203</v>
      </c>
      <c r="AC171" s="83">
        <v>487468.05935457401</v>
      </c>
      <c r="AD171" s="83">
        <v>1097198.5019316799</v>
      </c>
      <c r="AE171" s="83">
        <v>1077.26403808593</v>
      </c>
    </row>
    <row r="172" spans="28:31">
      <c r="AB172" s="83">
        <v>8.5213630447105793</v>
      </c>
      <c r="AC172" s="83">
        <v>487468.08675663098</v>
      </c>
      <c r="AD172" s="83">
        <v>1097198.60217288</v>
      </c>
      <c r="AE172" s="83">
        <v>1077.251953125</v>
      </c>
    </row>
    <row r="173" spans="28:31">
      <c r="AB173" s="83">
        <v>8.62528210623144</v>
      </c>
      <c r="AC173" s="83">
        <v>487468.114158688</v>
      </c>
      <c r="AD173" s="83">
        <v>1097198.70241408</v>
      </c>
      <c r="AE173" s="83">
        <v>1077.24096679687</v>
      </c>
    </row>
    <row r="174" spans="28:31">
      <c r="AB174" s="83">
        <v>8.7292011677523007</v>
      </c>
      <c r="AC174" s="83">
        <v>487468.14156074502</v>
      </c>
      <c r="AD174" s="83">
        <v>1097198.8026552801</v>
      </c>
      <c r="AE174" s="83">
        <v>1077.22998046875</v>
      </c>
    </row>
    <row r="175" spans="28:31">
      <c r="AB175" s="83">
        <v>8.8331202292731597</v>
      </c>
      <c r="AC175" s="83">
        <v>487468.16896280198</v>
      </c>
      <c r="AD175" s="83">
        <v>1097198.9028964899</v>
      </c>
      <c r="AE175" s="83">
        <v>1077.2099609375</v>
      </c>
    </row>
    <row r="176" spans="28:31">
      <c r="AB176" s="83">
        <v>8.9370392907940293</v>
      </c>
      <c r="AC176" s="83">
        <v>487468.196364859</v>
      </c>
      <c r="AD176" s="83">
        <v>1097199.00313769</v>
      </c>
      <c r="AE176" s="83">
        <v>1077.2099609375</v>
      </c>
    </row>
    <row r="177" spans="28:31">
      <c r="AB177" s="83">
        <v>9.04095835231489</v>
      </c>
      <c r="AC177" s="83">
        <v>487468.22376691602</v>
      </c>
      <c r="AD177" s="83">
        <v>1097199.1033788901</v>
      </c>
      <c r="AE177" s="83">
        <v>1077.19799804687</v>
      </c>
    </row>
    <row r="178" spans="28:31">
      <c r="AB178" s="83">
        <v>9.1448774138357507</v>
      </c>
      <c r="AC178" s="83">
        <v>487468.25116897299</v>
      </c>
      <c r="AD178" s="83">
        <v>1097199.2036200899</v>
      </c>
      <c r="AE178" s="83">
        <v>1077.19104003906</v>
      </c>
    </row>
    <row r="179" spans="28:31">
      <c r="AB179" s="83">
        <v>9.2487964753566096</v>
      </c>
      <c r="AC179" s="83">
        <v>487468.27857103001</v>
      </c>
      <c r="AD179" s="83">
        <v>1097199.3038613</v>
      </c>
      <c r="AE179" s="83">
        <v>1077.19897460937</v>
      </c>
    </row>
    <row r="180" spans="28:31">
      <c r="AB180" s="83">
        <v>9.3527155368774704</v>
      </c>
      <c r="AC180" s="83">
        <v>487468.30597308697</v>
      </c>
      <c r="AD180" s="83">
        <v>1097199.4041025001</v>
      </c>
      <c r="AE180" s="83">
        <v>1077.21899414062</v>
      </c>
    </row>
    <row r="181" spans="28:31">
      <c r="AB181" s="83">
        <v>9.4566345983983293</v>
      </c>
      <c r="AC181" s="83">
        <v>487468.33337514399</v>
      </c>
      <c r="AD181" s="83">
        <v>1097199.5043436999</v>
      </c>
      <c r="AE181" s="83">
        <v>1077.23999023437</v>
      </c>
    </row>
    <row r="182" spans="28:31">
      <c r="AB182" s="83">
        <v>9.56055365991919</v>
      </c>
      <c r="AC182" s="83">
        <v>487468.36077720003</v>
      </c>
      <c r="AD182" s="83">
        <v>1097199.6045849</v>
      </c>
      <c r="AE182" s="83">
        <v>1077.25402832031</v>
      </c>
    </row>
    <row r="183" spans="28:31">
      <c r="AB183" s="83">
        <v>9.6644727214400508</v>
      </c>
      <c r="AC183" s="83">
        <v>487468.38817925699</v>
      </c>
      <c r="AD183" s="83">
        <v>1097199.7048261</v>
      </c>
      <c r="AE183" s="83">
        <v>1077.2509765625</v>
      </c>
    </row>
    <row r="184" spans="28:31">
      <c r="AB184" s="83">
        <v>9.7683917829609097</v>
      </c>
      <c r="AC184" s="83">
        <v>487468.41558131401</v>
      </c>
      <c r="AD184" s="83">
        <v>1097199.8050673101</v>
      </c>
      <c r="AE184" s="83">
        <v>1077.25903320312</v>
      </c>
    </row>
    <row r="185" spans="28:31">
      <c r="AB185" s="83">
        <v>9.8723108444817704</v>
      </c>
      <c r="AC185" s="83">
        <v>487468.44298337097</v>
      </c>
      <c r="AD185" s="83">
        <v>1097199.9053085099</v>
      </c>
      <c r="AE185" s="83">
        <v>1077.25903320312</v>
      </c>
    </row>
    <row r="186" spans="28:31">
      <c r="AB186" s="83">
        <v>9.9762299060026294</v>
      </c>
      <c r="AC186" s="83">
        <v>487468.47038542799</v>
      </c>
      <c r="AD186" s="83">
        <v>1097200.00554971</v>
      </c>
      <c r="AE186" s="83">
        <v>1077.26794433593</v>
      </c>
    </row>
    <row r="187" spans="28:31">
      <c r="AB187" s="83">
        <v>10.0801489675234</v>
      </c>
      <c r="AC187" s="83">
        <v>487468.49778748502</v>
      </c>
      <c r="AD187" s="83">
        <v>1097200.1057909101</v>
      </c>
      <c r="AE187" s="83">
        <v>1077.30603027343</v>
      </c>
    </row>
    <row r="188" spans="28:31">
      <c r="AB188" s="83">
        <v>10.184068029044299</v>
      </c>
      <c r="AC188" s="83">
        <v>487468.52518954198</v>
      </c>
      <c r="AD188" s="83">
        <v>1097200.2060321199</v>
      </c>
      <c r="AE188" s="83">
        <v>1077.30297851562</v>
      </c>
    </row>
    <row r="189" spans="28:31">
      <c r="AB189" s="83">
        <v>10.287987090565201</v>
      </c>
      <c r="AC189" s="83">
        <v>487468.552591599</v>
      </c>
      <c r="AD189" s="83">
        <v>1097200.30627332</v>
      </c>
      <c r="AE189" s="83">
        <v>1077.32104492187</v>
      </c>
    </row>
    <row r="190" spans="28:31">
      <c r="AB190" s="83">
        <v>10.391906152085999</v>
      </c>
      <c r="AC190" s="83">
        <v>487468.57999365602</v>
      </c>
      <c r="AD190" s="83">
        <v>1097200.4065145201</v>
      </c>
      <c r="AE190" s="83">
        <v>1077.33996582031</v>
      </c>
    </row>
    <row r="191" spans="28:31">
      <c r="AB191" s="83">
        <v>10.495825213606899</v>
      </c>
      <c r="AC191" s="83">
        <v>487468.60739571298</v>
      </c>
      <c r="AD191" s="83">
        <v>1097200.5067557199</v>
      </c>
      <c r="AE191" s="83">
        <v>1077.35998535156</v>
      </c>
    </row>
    <row r="192" spans="28:31">
      <c r="AB192" s="83">
        <v>10.599744275127801</v>
      </c>
      <c r="AC192" s="83">
        <v>487468.63479777001</v>
      </c>
      <c r="AD192" s="83">
        <v>1097200.60699692</v>
      </c>
      <c r="AE192" s="83">
        <v>1077.35595703125</v>
      </c>
    </row>
    <row r="193" spans="28:31">
      <c r="AB193" s="83">
        <v>10.703663336648599</v>
      </c>
      <c r="AC193" s="83">
        <v>487468.66219982703</v>
      </c>
      <c r="AD193" s="83">
        <v>1097200.70723813</v>
      </c>
      <c r="AE193" s="83">
        <v>1077.35595703125</v>
      </c>
    </row>
    <row r="194" spans="28:31">
      <c r="AB194" s="83">
        <v>10.807582398169499</v>
      </c>
      <c r="AC194" s="83">
        <v>487468.68960188399</v>
      </c>
      <c r="AD194" s="83">
        <v>1097200.8074793301</v>
      </c>
      <c r="AE194" s="83">
        <v>1077.3740234375</v>
      </c>
    </row>
    <row r="195" spans="28:31">
      <c r="AB195" s="83">
        <v>10.911501459690299</v>
      </c>
      <c r="AC195" s="83">
        <v>487468.71700394101</v>
      </c>
      <c r="AD195" s="83">
        <v>1097200.9077205299</v>
      </c>
      <c r="AE195" s="83">
        <v>1077.39599609375</v>
      </c>
    </row>
    <row r="196" spans="28:31">
      <c r="AB196" s="83">
        <v>11.015420521211199</v>
      </c>
      <c r="AC196" s="83">
        <v>487468.74440599699</v>
      </c>
      <c r="AD196" s="83">
        <v>1097201.00796173</v>
      </c>
      <c r="AE196" s="83">
        <v>1077.33898925781</v>
      </c>
    </row>
    <row r="197" spans="28:31">
      <c r="AB197" s="83">
        <v>11.119339582732101</v>
      </c>
      <c r="AC197" s="83">
        <v>487468.77180805401</v>
      </c>
      <c r="AD197" s="83">
        <v>1097201.1082029401</v>
      </c>
      <c r="AE197" s="83">
        <v>1077.34399414062</v>
      </c>
    </row>
    <row r="198" spans="28:31">
      <c r="AB198" s="83">
        <v>11.223258644252899</v>
      </c>
      <c r="AC198" s="83">
        <v>487468.79921011103</v>
      </c>
      <c r="AD198" s="83">
        <v>1097201.2084441399</v>
      </c>
      <c r="AE198" s="83">
        <v>1077.34399414062</v>
      </c>
    </row>
    <row r="199" spans="28:31">
      <c r="AB199" s="83">
        <v>11.327177705773799</v>
      </c>
      <c r="AC199" s="83">
        <v>487468.82661216799</v>
      </c>
      <c r="AD199" s="83">
        <v>1097201.30868534</v>
      </c>
      <c r="AE199" s="83">
        <v>1077.33703613281</v>
      </c>
    </row>
    <row r="200" spans="28:31">
      <c r="AB200" s="83">
        <v>11.4310967672946</v>
      </c>
      <c r="AC200" s="83">
        <v>487468.85401422501</v>
      </c>
      <c r="AD200" s="83">
        <v>1097201.4089265401</v>
      </c>
      <c r="AE200" s="83">
        <v>1077.31701660156</v>
      </c>
    </row>
    <row r="201" spans="28:31">
      <c r="AB201" s="83">
        <v>11.535015828815499</v>
      </c>
      <c r="AC201" s="83">
        <v>487468.88141628198</v>
      </c>
      <c r="AD201" s="83">
        <v>1097201.5091677399</v>
      </c>
      <c r="AE201" s="83">
        <v>1077.31005859375</v>
      </c>
    </row>
    <row r="202" spans="28:31">
      <c r="AB202" s="83">
        <v>11.638934890336399</v>
      </c>
      <c r="AC202" s="83">
        <v>487468.908818339</v>
      </c>
      <c r="AD202" s="83">
        <v>1097201.60940895</v>
      </c>
      <c r="AE202" s="83">
        <v>1077.31005859375</v>
      </c>
    </row>
    <row r="203" spans="28:31">
      <c r="AB203" s="83">
        <v>11.742853951857199</v>
      </c>
      <c r="AC203" s="83">
        <v>487468.93622039602</v>
      </c>
      <c r="AD203" s="83">
        <v>1097201.70965015</v>
      </c>
      <c r="AE203" s="83">
        <v>1077.30700683593</v>
      </c>
    </row>
    <row r="204" spans="28:31">
      <c r="AB204" s="83">
        <v>11.846773013378099</v>
      </c>
      <c r="AC204" s="83">
        <v>487468.96362245298</v>
      </c>
      <c r="AD204" s="83">
        <v>1097201.8098913501</v>
      </c>
      <c r="AE204" s="83">
        <v>1077.30895996093</v>
      </c>
    </row>
    <row r="205" spans="28:31">
      <c r="AB205" s="83">
        <v>11.9506920748989</v>
      </c>
      <c r="AC205" s="83">
        <v>487468.99102451</v>
      </c>
      <c r="AD205" s="83">
        <v>1097201.9101325499</v>
      </c>
      <c r="AE205" s="83">
        <v>1077.31103515625</v>
      </c>
    </row>
    <row r="206" spans="28:31">
      <c r="AB206" s="83">
        <v>12.054611136419799</v>
      </c>
      <c r="AC206" s="83">
        <v>487469.01842656703</v>
      </c>
      <c r="AD206" s="83">
        <v>1097202.01037376</v>
      </c>
      <c r="AE206" s="83">
        <v>1077.31396484375</v>
      </c>
    </row>
    <row r="207" spans="28:31">
      <c r="AB207" s="83">
        <v>12.158530197940699</v>
      </c>
      <c r="AC207" s="83">
        <v>487469.04582862399</v>
      </c>
      <c r="AD207" s="83">
        <v>1097202.1106149601</v>
      </c>
      <c r="AE207" s="83">
        <v>1077.31494140625</v>
      </c>
    </row>
    <row r="208" spans="28:31">
      <c r="AB208" s="83">
        <v>12.2624492594615</v>
      </c>
      <c r="AC208" s="83">
        <v>487469.07323068101</v>
      </c>
      <c r="AD208" s="83">
        <v>1097202.2108561599</v>
      </c>
      <c r="AE208" s="83">
        <v>1077.31604003906</v>
      </c>
    </row>
    <row r="209" spans="28:31">
      <c r="AB209" s="83">
        <v>12.366368320982399</v>
      </c>
      <c r="AC209" s="83">
        <v>487469.10063273797</v>
      </c>
      <c r="AD209" s="83">
        <v>1097202.31109736</v>
      </c>
      <c r="AE209" s="83">
        <v>1077.31604003906</v>
      </c>
    </row>
    <row r="210" spans="28:31">
      <c r="AB210" s="83">
        <v>12.4702873825032</v>
      </c>
      <c r="AC210" s="83">
        <v>487469.128034794</v>
      </c>
      <c r="AD210" s="83">
        <v>1097202.4113385601</v>
      </c>
      <c r="AE210" s="83">
        <v>1077.31799316406</v>
      </c>
    </row>
    <row r="211" spans="28:31">
      <c r="AB211" s="83">
        <v>12.574206444024099</v>
      </c>
      <c r="AC211" s="83">
        <v>487469.15543685103</v>
      </c>
      <c r="AD211" s="83">
        <v>1097202.5115797699</v>
      </c>
      <c r="AE211" s="83">
        <v>1077.31799316406</v>
      </c>
    </row>
    <row r="212" spans="28:31">
      <c r="AB212" s="83">
        <v>12.678125505544999</v>
      </c>
      <c r="AC212" s="83">
        <v>487469.18283890799</v>
      </c>
      <c r="AD212" s="83">
        <v>1097202.61182097</v>
      </c>
      <c r="AE212" s="83">
        <v>1077.31799316406</v>
      </c>
    </row>
    <row r="213" spans="28:31">
      <c r="AB213" s="83">
        <v>12.7820445670658</v>
      </c>
      <c r="AC213" s="83">
        <v>487469.21024096501</v>
      </c>
      <c r="AD213" s="83">
        <v>1097202.71206217</v>
      </c>
      <c r="AE213" s="83">
        <v>1077.31799316406</v>
      </c>
    </row>
    <row r="214" spans="28:31">
      <c r="AB214" s="83">
        <v>12.885963628586699</v>
      </c>
      <c r="AC214" s="83">
        <v>487469.23764302197</v>
      </c>
      <c r="AD214" s="83">
        <v>1097202.8123033701</v>
      </c>
      <c r="AE214" s="83">
        <v>1077.31896972656</v>
      </c>
    </row>
    <row r="215" spans="28:31">
      <c r="AB215" s="83">
        <v>12.989882690107599</v>
      </c>
      <c r="AC215" s="83">
        <v>487469.265045079</v>
      </c>
      <c r="AD215" s="83">
        <v>1097202.9125445799</v>
      </c>
      <c r="AE215" s="83">
        <v>1077.31896972656</v>
      </c>
    </row>
    <row r="216" spans="28:31">
      <c r="AB216" s="83">
        <v>13.0938017516284</v>
      </c>
      <c r="AC216" s="83">
        <v>487469.29244713602</v>
      </c>
      <c r="AD216" s="83">
        <v>1097203.01278578</v>
      </c>
      <c r="AE216" s="83">
        <v>1077.31994628906</v>
      </c>
    </row>
    <row r="217" spans="28:31">
      <c r="AB217" s="83">
        <v>13.197720813149299</v>
      </c>
      <c r="AC217" s="83">
        <v>487469.31984919298</v>
      </c>
      <c r="AD217" s="83">
        <v>1097203.1130269801</v>
      </c>
      <c r="AE217" s="83">
        <v>1077.32104492187</v>
      </c>
    </row>
    <row r="218" spans="28:31">
      <c r="AB218" s="83">
        <v>13.3016398746701</v>
      </c>
      <c r="AC218" s="83">
        <v>487469.34725125</v>
      </c>
      <c r="AD218" s="83">
        <v>1097203.2132681799</v>
      </c>
      <c r="AE218" s="83">
        <v>1077.32104492187</v>
      </c>
    </row>
    <row r="219" spans="28:31">
      <c r="AB219" s="83">
        <v>13.405558936190999</v>
      </c>
      <c r="AC219" s="83">
        <v>487469.37465330702</v>
      </c>
      <c r="AD219" s="83">
        <v>1097203.31350938</v>
      </c>
      <c r="AE219" s="83">
        <v>1077.31896972656</v>
      </c>
    </row>
    <row r="220" spans="28:31">
      <c r="AB220" s="83">
        <v>13.509477997711899</v>
      </c>
      <c r="AC220" s="83">
        <v>487469.40205536399</v>
      </c>
      <c r="AD220" s="83">
        <v>1097203.4137505901</v>
      </c>
      <c r="AE220" s="83">
        <v>1077.31896972656</v>
      </c>
    </row>
    <row r="221" spans="28:31">
      <c r="AB221" s="83">
        <v>13.6133970592327</v>
      </c>
      <c r="AC221" s="83">
        <v>487469.42945742101</v>
      </c>
      <c r="AD221" s="83">
        <v>1097203.5139917899</v>
      </c>
      <c r="AE221" s="83">
        <v>1077.31896972656</v>
      </c>
    </row>
    <row r="222" spans="28:31">
      <c r="AB222" s="83">
        <v>13.717316120753599</v>
      </c>
      <c r="AC222" s="83">
        <v>487469.45685947803</v>
      </c>
      <c r="AD222" s="83">
        <v>1097203.61423299</v>
      </c>
      <c r="AE222" s="83">
        <v>1077.31701660156</v>
      </c>
    </row>
    <row r="223" spans="28:31">
      <c r="AB223" s="83">
        <v>13.8212351822744</v>
      </c>
      <c r="AC223" s="83">
        <v>487469.48426153499</v>
      </c>
      <c r="AD223" s="83">
        <v>1097203.71447419</v>
      </c>
      <c r="AE223" s="83">
        <v>1077.31701660156</v>
      </c>
    </row>
    <row r="224" spans="28:31">
      <c r="AB224" s="83">
        <v>13.9251542437953</v>
      </c>
      <c r="AC224" s="83">
        <v>487469.51166359102</v>
      </c>
      <c r="AD224" s="83">
        <v>1097203.8147154001</v>
      </c>
      <c r="AE224" s="83">
        <v>1077.31701660156</v>
      </c>
    </row>
    <row r="225" spans="28:31">
      <c r="AB225" s="83">
        <v>14.029073305316199</v>
      </c>
      <c r="AC225" s="83">
        <v>487469.53906564799</v>
      </c>
      <c r="AD225" s="83">
        <v>1097203.9149565999</v>
      </c>
      <c r="AE225" s="83">
        <v>1077.31799316406</v>
      </c>
    </row>
    <row r="226" spans="28:31">
      <c r="AB226" s="83">
        <v>14.132992366837</v>
      </c>
      <c r="AC226" s="83">
        <v>487469.56646770501</v>
      </c>
      <c r="AD226" s="83">
        <v>1097204.0151978</v>
      </c>
      <c r="AE226" s="83">
        <v>1077.31896972656</v>
      </c>
    </row>
    <row r="227" spans="28:31">
      <c r="AB227" s="83">
        <v>14.236911428357899</v>
      </c>
      <c r="AC227" s="83">
        <v>487469.59386976197</v>
      </c>
      <c r="AD227" s="83">
        <v>1097204.1154390001</v>
      </c>
      <c r="AE227" s="83">
        <v>1077.32299804687</v>
      </c>
    </row>
    <row r="228" spans="28:31">
      <c r="AB228" s="83">
        <v>14.3408304898787</v>
      </c>
      <c r="AC228" s="83">
        <v>487469.62127181899</v>
      </c>
      <c r="AD228" s="83">
        <v>1097204.2156801999</v>
      </c>
      <c r="AE228" s="83">
        <v>1077.32702636718</v>
      </c>
    </row>
    <row r="229" spans="28:31">
      <c r="AB229" s="83">
        <v>14.4447495513996</v>
      </c>
      <c r="AC229" s="83">
        <v>487469.64867387601</v>
      </c>
      <c r="AD229" s="83">
        <v>1097204.31592141</v>
      </c>
      <c r="AE229" s="83">
        <v>1077.333984375</v>
      </c>
    </row>
    <row r="230" spans="28:31">
      <c r="AB230" s="83">
        <v>14.548668612920499</v>
      </c>
      <c r="AC230" s="83">
        <v>487469.67607593298</v>
      </c>
      <c r="AD230" s="83">
        <v>1097204.4161626101</v>
      </c>
      <c r="AE230" s="83">
        <v>1077.34094238281</v>
      </c>
    </row>
    <row r="231" spans="28:31">
      <c r="AB231" s="83">
        <v>14.6525876744413</v>
      </c>
      <c r="AC231" s="83">
        <v>487469.70347799</v>
      </c>
      <c r="AD231" s="83">
        <v>1097204.5164038099</v>
      </c>
      <c r="AE231" s="83">
        <v>1077.35205078125</v>
      </c>
    </row>
    <row r="232" spans="28:31">
      <c r="AB232" s="83">
        <v>14.7565067359622</v>
      </c>
      <c r="AC232" s="83">
        <v>487469.73088004702</v>
      </c>
      <c r="AD232" s="83">
        <v>1097204.61664501</v>
      </c>
      <c r="AE232" s="83">
        <v>1077.36303710937</v>
      </c>
    </row>
    <row r="233" spans="28:31">
      <c r="AB233" s="83">
        <v>14.860425797483</v>
      </c>
      <c r="AC233" s="83">
        <v>487469.75828210398</v>
      </c>
      <c r="AD233" s="83">
        <v>1097204.71688622</v>
      </c>
      <c r="AE233" s="83">
        <v>1077.38903808593</v>
      </c>
    </row>
    <row r="234" spans="28:31">
      <c r="AB234" s="83">
        <v>14.9643448590039</v>
      </c>
      <c r="AC234" s="83">
        <v>487469.785684161</v>
      </c>
      <c r="AD234" s="83">
        <v>1097204.8171274201</v>
      </c>
      <c r="AE234" s="83">
        <v>1077.38903808593</v>
      </c>
    </row>
    <row r="235" spans="28:31">
      <c r="AB235" s="83">
        <v>15.068263920524799</v>
      </c>
      <c r="AC235" s="83">
        <v>487469.81308621803</v>
      </c>
      <c r="AD235" s="83">
        <v>1097204.9173686199</v>
      </c>
      <c r="AE235" s="83">
        <v>1077.40002441406</v>
      </c>
    </row>
    <row r="236" spans="28:31">
      <c r="AB236" s="83">
        <v>15.1721829820456</v>
      </c>
      <c r="AC236" s="83">
        <v>487469.84048827499</v>
      </c>
      <c r="AD236" s="83">
        <v>1097205.01760982</v>
      </c>
      <c r="AE236" s="83">
        <v>1077.40698242187</v>
      </c>
    </row>
    <row r="237" spans="28:31">
      <c r="AB237" s="83">
        <v>15.2761020435665</v>
      </c>
      <c r="AC237" s="83">
        <v>487469.86789033201</v>
      </c>
      <c r="AD237" s="83">
        <v>1097205.1178510201</v>
      </c>
      <c r="AE237" s="83">
        <v>1077.40795898437</v>
      </c>
    </row>
    <row r="238" spans="28:31">
      <c r="AB238" s="83">
        <v>15.380021105087399</v>
      </c>
      <c r="AC238" s="83">
        <v>487469.89529238897</v>
      </c>
      <c r="AD238" s="83">
        <v>1097205.2180922299</v>
      </c>
      <c r="AE238" s="83">
        <v>1077.42102050781</v>
      </c>
    </row>
    <row r="239" spans="28:31">
      <c r="AB239" s="83">
        <v>15.4839401666082</v>
      </c>
      <c r="AC239" s="83">
        <v>487469.92269444501</v>
      </c>
      <c r="AD239" s="83">
        <v>1097205.31833343</v>
      </c>
      <c r="AE239" s="83">
        <v>1077.44799804687</v>
      </c>
    </row>
    <row r="240" spans="28:31">
      <c r="AB240" s="83">
        <v>15.5878592281291</v>
      </c>
      <c r="AC240" s="83">
        <v>487469.95009650203</v>
      </c>
      <c r="AD240" s="83">
        <v>1097205.41857463</v>
      </c>
      <c r="AE240" s="83">
        <v>1077.47399902343</v>
      </c>
    </row>
    <row r="241" spans="28:31">
      <c r="AB241" s="83">
        <v>15.6917782896499</v>
      </c>
      <c r="AC241" s="83">
        <v>487469.97749855899</v>
      </c>
      <c r="AD241" s="83">
        <v>1097205.5188158299</v>
      </c>
      <c r="AE241" s="83">
        <v>1077.51000976562</v>
      </c>
    </row>
    <row r="242" spans="28:31">
      <c r="AB242" s="83">
        <v>15.7956973511708</v>
      </c>
      <c r="AC242" s="83">
        <v>487470.00490061601</v>
      </c>
      <c r="AD242" s="83">
        <v>1097205.61905704</v>
      </c>
      <c r="AE242" s="83">
        <v>1077.51904296875</v>
      </c>
    </row>
    <row r="243" spans="28:31">
      <c r="AB243" s="83">
        <v>15.899616412691699</v>
      </c>
      <c r="AC243" s="83">
        <v>487470.03230267297</v>
      </c>
      <c r="AD243" s="83">
        <v>1097205.71929824</v>
      </c>
      <c r="AE243" s="83">
        <v>1077.51904296875</v>
      </c>
    </row>
    <row r="244" spans="28:31">
      <c r="AB244" s="83">
        <v>16.003535474212502</v>
      </c>
      <c r="AC244" s="83">
        <v>487470.05970473</v>
      </c>
      <c r="AD244" s="83">
        <v>1097205.8195394401</v>
      </c>
      <c r="AE244" s="83">
        <v>1077.55200195312</v>
      </c>
    </row>
    <row r="245" spans="28:31">
      <c r="AB245" s="83">
        <v>16.1074545357334</v>
      </c>
      <c r="AC245" s="83">
        <v>487470.08710678702</v>
      </c>
      <c r="AD245" s="83">
        <v>1097205.9197806399</v>
      </c>
      <c r="AE245" s="83">
        <v>1077.57397460937</v>
      </c>
    </row>
    <row r="246" spans="28:31">
      <c r="AB246" s="83">
        <v>16.211373597254202</v>
      </c>
      <c r="AC246" s="83">
        <v>487470.11450884398</v>
      </c>
      <c r="AD246" s="83">
        <v>1097206.02002184</v>
      </c>
      <c r="AE246" s="83">
        <v>1077.59399414062</v>
      </c>
    </row>
    <row r="247" spans="28:31">
      <c r="AB247" s="83">
        <v>16.3152926587751</v>
      </c>
      <c r="AC247" s="83">
        <v>487470.141910901</v>
      </c>
      <c r="AD247" s="83">
        <v>1097206.1202630501</v>
      </c>
      <c r="AE247" s="83">
        <v>1077.60998535156</v>
      </c>
    </row>
    <row r="248" spans="28:31">
      <c r="AB248" s="83">
        <v>16.419211720296001</v>
      </c>
      <c r="AC248" s="83">
        <v>487470.16931295802</v>
      </c>
      <c r="AD248" s="83">
        <v>1097206.2205042499</v>
      </c>
      <c r="AE248" s="83">
        <v>1077.62097167968</v>
      </c>
    </row>
    <row r="249" spans="28:31">
      <c r="AB249" s="83">
        <v>16.5231307818168</v>
      </c>
      <c r="AC249" s="83">
        <v>487470.19671501499</v>
      </c>
      <c r="AD249" s="83">
        <v>1097206.32074545</v>
      </c>
      <c r="AE249" s="83">
        <v>1077.63598632812</v>
      </c>
    </row>
    <row r="250" spans="28:31">
      <c r="AB250" s="83">
        <v>16.627049843337701</v>
      </c>
      <c r="AC250" s="83">
        <v>487470.22411707201</v>
      </c>
      <c r="AD250" s="83">
        <v>1097206.42098665</v>
      </c>
      <c r="AE250" s="83">
        <v>1077.64404296875</v>
      </c>
    </row>
    <row r="251" spans="28:31">
      <c r="AB251" s="83">
        <v>16.7309689048585</v>
      </c>
      <c r="AC251" s="83">
        <v>487470.25151912897</v>
      </c>
      <c r="AD251" s="83">
        <v>1097206.5212278599</v>
      </c>
      <c r="AE251" s="83">
        <v>1077.63195800781</v>
      </c>
    </row>
    <row r="252" spans="28:31">
      <c r="AB252" s="83">
        <v>16.834887966379402</v>
      </c>
      <c r="AC252" s="83">
        <v>487470.278921185</v>
      </c>
      <c r="AD252" s="83">
        <v>1097206.62146906</v>
      </c>
      <c r="AE252" s="83">
        <v>1077.63696289062</v>
      </c>
    </row>
    <row r="253" spans="28:31">
      <c r="AB253" s="83">
        <v>16.9388070279003</v>
      </c>
      <c r="AC253" s="83">
        <v>487470.30632324202</v>
      </c>
      <c r="AD253" s="83">
        <v>1097206.72171026</v>
      </c>
      <c r="AE253" s="83">
        <v>1077.64001464843</v>
      </c>
    </row>
    <row r="254" spans="28:31">
      <c r="AB254" s="83">
        <v>17.042726089421102</v>
      </c>
      <c r="AC254" s="83">
        <v>487470.33372529899</v>
      </c>
      <c r="AD254" s="83">
        <v>1097206.8219514601</v>
      </c>
      <c r="AE254" s="83">
        <v>1077.63696289062</v>
      </c>
    </row>
    <row r="255" spans="28:31">
      <c r="AB255" s="83">
        <v>17.146645150942</v>
      </c>
      <c r="AC255" s="83">
        <v>487470.36112735601</v>
      </c>
      <c r="AD255" s="83">
        <v>1097206.9221926599</v>
      </c>
      <c r="AE255" s="83">
        <v>1077.63305664062</v>
      </c>
    </row>
    <row r="256" spans="28:31">
      <c r="AB256" s="83">
        <v>17.250564212462798</v>
      </c>
      <c r="AC256" s="83">
        <v>487470.38852941297</v>
      </c>
      <c r="AD256" s="83">
        <v>1097207.02243387</v>
      </c>
      <c r="AE256" s="83">
        <v>1077.60900878906</v>
      </c>
    </row>
    <row r="257" spans="28:31">
      <c r="AB257" s="83">
        <v>17.3544832739837</v>
      </c>
      <c r="AC257" s="83">
        <v>487470.41593146999</v>
      </c>
      <c r="AD257" s="83">
        <v>1097207.1226750701</v>
      </c>
      <c r="AE257" s="83">
        <v>1077.583984375</v>
      </c>
    </row>
    <row r="258" spans="28:31">
      <c r="AB258" s="83">
        <v>17.458402335504601</v>
      </c>
      <c r="AC258" s="83">
        <v>487470.44333352702</v>
      </c>
      <c r="AD258" s="83">
        <v>1097207.2229162699</v>
      </c>
      <c r="AE258" s="83">
        <v>1077.57495117187</v>
      </c>
    </row>
    <row r="259" spans="28:31">
      <c r="AB259" s="83">
        <v>17.5623213970254</v>
      </c>
      <c r="AC259" s="83">
        <v>487470.47073558398</v>
      </c>
      <c r="AD259" s="83">
        <v>1097207.32315747</v>
      </c>
      <c r="AE259" s="83">
        <v>1077.50695800781</v>
      </c>
    </row>
    <row r="260" spans="28:31">
      <c r="AB260" s="83">
        <v>17.666240458546302</v>
      </c>
      <c r="AC260" s="83">
        <v>487470.498137641</v>
      </c>
      <c r="AD260" s="83">
        <v>1097207.4233986801</v>
      </c>
      <c r="AE260" s="83">
        <v>1077.50695800781</v>
      </c>
    </row>
    <row r="261" spans="28:31">
      <c r="AB261" s="83">
        <v>17.7701595200672</v>
      </c>
      <c r="AC261" s="83">
        <v>487470.52553969802</v>
      </c>
      <c r="AD261" s="83">
        <v>1097207.5236398799</v>
      </c>
      <c r="AE261" s="83">
        <v>1077.48596191406</v>
      </c>
    </row>
    <row r="262" spans="28:31">
      <c r="AB262" s="83">
        <v>17.874078581588002</v>
      </c>
      <c r="AC262" s="83">
        <v>487470.55294175498</v>
      </c>
      <c r="AD262" s="83">
        <v>1097207.62388108</v>
      </c>
      <c r="AE262" s="83">
        <v>1077.41101074218</v>
      </c>
    </row>
    <row r="263" spans="28:31">
      <c r="AB263" s="83">
        <v>17.9779976431089</v>
      </c>
      <c r="AC263" s="83">
        <v>487470.58034381201</v>
      </c>
      <c r="AD263" s="83">
        <v>1097207.72412228</v>
      </c>
      <c r="AE263" s="83">
        <v>1077.41198730468</v>
      </c>
    </row>
    <row r="264" spans="28:31">
      <c r="AB264" s="83">
        <v>18.081916704629698</v>
      </c>
      <c r="AC264" s="83">
        <v>487470.60774586903</v>
      </c>
      <c r="AD264" s="83">
        <v>1097207.8243634801</v>
      </c>
      <c r="AE264" s="83">
        <v>1077.42895507812</v>
      </c>
    </row>
    <row r="265" spans="28:31">
      <c r="AB265" s="83">
        <v>18.1858357661506</v>
      </c>
      <c r="AC265" s="83">
        <v>487470.63514792599</v>
      </c>
      <c r="AD265" s="83">
        <v>1097207.9246046899</v>
      </c>
      <c r="AE265" s="83">
        <v>1077.48400878906</v>
      </c>
    </row>
    <row r="266" spans="28:31">
      <c r="AB266" s="83">
        <v>18.289754827671501</v>
      </c>
      <c r="AC266" s="83">
        <v>487470.66254998202</v>
      </c>
      <c r="AD266" s="83">
        <v>1097208.02484589</v>
      </c>
      <c r="AE266" s="83">
        <v>1077.45397949218</v>
      </c>
    </row>
    <row r="267" spans="28:31">
      <c r="AB267" s="83">
        <v>18.3936738891923</v>
      </c>
      <c r="AC267" s="83">
        <v>487470.68995203899</v>
      </c>
      <c r="AD267" s="83">
        <v>1097208.1250870901</v>
      </c>
      <c r="AE267" s="83">
        <v>1077.46801757812</v>
      </c>
    </row>
    <row r="268" spans="28:31">
      <c r="AB268" s="83">
        <v>18.497592950713202</v>
      </c>
      <c r="AC268" s="83">
        <v>487470.71735409601</v>
      </c>
      <c r="AD268" s="83">
        <v>1097208.2253282899</v>
      </c>
      <c r="AE268" s="83">
        <v>1077.46801757812</v>
      </c>
    </row>
    <row r="269" spans="28:31">
      <c r="AB269" s="83">
        <v>18.601512012234</v>
      </c>
      <c r="AC269" s="83">
        <v>487470.74475615303</v>
      </c>
      <c r="AD269" s="83">
        <v>1097208.3255695</v>
      </c>
      <c r="AE269" s="83">
        <v>1077.46398925781</v>
      </c>
    </row>
    <row r="270" spans="28:31">
      <c r="AB270" s="83">
        <v>18.705431073754902</v>
      </c>
      <c r="AC270" s="83">
        <v>487470.77215820999</v>
      </c>
      <c r="AD270" s="83">
        <v>1097208.4258107</v>
      </c>
      <c r="AE270" s="83">
        <v>1077.3740234375</v>
      </c>
    </row>
    <row r="271" spans="28:31">
      <c r="AB271" s="83">
        <v>18.8093501352758</v>
      </c>
      <c r="AC271" s="83">
        <v>487470.79956026701</v>
      </c>
      <c r="AD271" s="83">
        <v>1097208.5260518999</v>
      </c>
      <c r="AE271" s="83">
        <v>1077.373046875</v>
      </c>
    </row>
    <row r="272" spans="28:31">
      <c r="AB272" s="83">
        <v>18.913269196796598</v>
      </c>
      <c r="AC272" s="83">
        <v>487470.82696232398</v>
      </c>
      <c r="AD272" s="83">
        <v>1097208.6262931</v>
      </c>
      <c r="AE272" s="83">
        <v>1077.375</v>
      </c>
    </row>
    <row r="273" spans="28:31">
      <c r="AB273" s="83">
        <v>19.0171882583175</v>
      </c>
      <c r="AC273" s="83">
        <v>487470.854364381</v>
      </c>
      <c r="AD273" s="83">
        <v>1097208.7265343</v>
      </c>
      <c r="AE273" s="83">
        <v>1077.1669921875</v>
      </c>
    </row>
    <row r="274" spans="28:31">
      <c r="AB274" s="83">
        <v>19.121107319838298</v>
      </c>
      <c r="AC274" s="83">
        <v>487470.88176643802</v>
      </c>
      <c r="AD274" s="83">
        <v>1097208.8267755101</v>
      </c>
      <c r="AE274" s="83">
        <v>1077.15100097656</v>
      </c>
    </row>
    <row r="275" spans="28:31">
      <c r="AB275" s="83">
        <v>19.2250263813592</v>
      </c>
      <c r="AC275" s="83">
        <v>487470.90916849498</v>
      </c>
      <c r="AD275" s="83">
        <v>1097208.9270167099</v>
      </c>
      <c r="AE275" s="83">
        <v>1077.13696289062</v>
      </c>
    </row>
    <row r="276" spans="28:31">
      <c r="AB276" s="83">
        <v>19.328945442880102</v>
      </c>
      <c r="AC276" s="83">
        <v>487470.936570552</v>
      </c>
      <c r="AD276" s="83">
        <v>1097209.02725791</v>
      </c>
      <c r="AE276" s="83">
        <v>1077.123046875</v>
      </c>
    </row>
    <row r="277" spans="28:31">
      <c r="AB277" s="83">
        <v>19.4328645044009</v>
      </c>
      <c r="AC277" s="83">
        <v>487470.96397260902</v>
      </c>
      <c r="AD277" s="83">
        <v>1097209.1274991101</v>
      </c>
      <c r="AE277" s="83">
        <v>1077.09997558593</v>
      </c>
    </row>
    <row r="278" spans="28:31">
      <c r="AB278" s="83">
        <v>19.536783565921802</v>
      </c>
      <c r="AC278" s="83">
        <v>487470.99137466599</v>
      </c>
      <c r="AD278" s="83">
        <v>1097209.2277403199</v>
      </c>
      <c r="AE278" s="83">
        <v>1077.08996582031</v>
      </c>
    </row>
    <row r="279" spans="28:31">
      <c r="AB279" s="83">
        <v>19.6407026274426</v>
      </c>
      <c r="AC279" s="83">
        <v>487471.01877672301</v>
      </c>
      <c r="AD279" s="83">
        <v>1097209.32798152</v>
      </c>
      <c r="AE279" s="83">
        <v>1077.08703613281</v>
      </c>
    </row>
    <row r="280" spans="28:31">
      <c r="AB280" s="83">
        <v>19.744621688963498</v>
      </c>
      <c r="AC280" s="83">
        <v>487471.04617877997</v>
      </c>
      <c r="AD280" s="83">
        <v>1097209.42822272</v>
      </c>
      <c r="AE280" s="83">
        <v>1077.0439453125</v>
      </c>
    </row>
    <row r="281" spans="28:31">
      <c r="AB281" s="83">
        <v>19.8485407504844</v>
      </c>
      <c r="AC281" s="83">
        <v>487471.073580836</v>
      </c>
      <c r="AD281" s="83">
        <v>1097209.5284639201</v>
      </c>
      <c r="AE281" s="83">
        <v>1076.96899414062</v>
      </c>
    </row>
    <row r="282" spans="28:31">
      <c r="AB282" s="83">
        <v>19.952459812005198</v>
      </c>
      <c r="AC282" s="83">
        <v>487471.10098289303</v>
      </c>
      <c r="AD282" s="83">
        <v>1097209.6287051199</v>
      </c>
      <c r="AE282" s="83">
        <v>1076.95703125</v>
      </c>
    </row>
    <row r="283" spans="28:31">
      <c r="AB283" s="83">
        <v>20.0563788735261</v>
      </c>
      <c r="AC283" s="83">
        <v>487471.12838494999</v>
      </c>
      <c r="AD283" s="83">
        <v>1097209.72894633</v>
      </c>
      <c r="AE283" s="83">
        <v>1076.94604492187</v>
      </c>
    </row>
    <row r="284" spans="28:31">
      <c r="AB284" s="83">
        <v>20.160297935046898</v>
      </c>
      <c r="AC284" s="83">
        <v>487471.15578700701</v>
      </c>
      <c r="AD284" s="83">
        <v>1097209.8291875301</v>
      </c>
      <c r="AE284" s="83">
        <v>1076.84301757812</v>
      </c>
    </row>
    <row r="285" spans="28:31">
      <c r="AB285" s="83">
        <v>20.2642169965678</v>
      </c>
      <c r="AC285" s="83">
        <v>487471.18318906397</v>
      </c>
      <c r="AD285" s="83">
        <v>1097209.9294287299</v>
      </c>
      <c r="AE285" s="83">
        <v>1076.84301757812</v>
      </c>
    </row>
    <row r="286" spans="28:31">
      <c r="AB286" s="83">
        <v>20.368136058088702</v>
      </c>
      <c r="AC286" s="83">
        <v>487471.21059112099</v>
      </c>
      <c r="AD286" s="83">
        <v>1097210.02966993</v>
      </c>
      <c r="AE286" s="83">
        <v>1076.80895996093</v>
      </c>
    </row>
    <row r="287" spans="28:31">
      <c r="AB287" s="83">
        <v>20.4720551196095</v>
      </c>
      <c r="AC287" s="83">
        <v>487471.23799317802</v>
      </c>
      <c r="AD287" s="83">
        <v>1097210.1299111401</v>
      </c>
      <c r="AE287" s="83">
        <v>1076.75402832031</v>
      </c>
    </row>
    <row r="288" spans="28:31">
      <c r="AB288" s="83">
        <v>20.575974181130402</v>
      </c>
      <c r="AC288" s="83">
        <v>487471.26539523498</v>
      </c>
      <c r="AD288" s="83">
        <v>1097210.2301523399</v>
      </c>
      <c r="AE288" s="83">
        <v>1076.59094238281</v>
      </c>
    </row>
    <row r="289" spans="28:31">
      <c r="AB289" s="83">
        <v>20.6798932426513</v>
      </c>
      <c r="AC289" s="83">
        <v>487471.292797292</v>
      </c>
      <c r="AD289" s="83">
        <v>1097210.33039354</v>
      </c>
      <c r="AE289" s="83">
        <v>1076.48596191406</v>
      </c>
    </row>
    <row r="290" spans="28:31">
      <c r="AB290" s="83">
        <v>20.783812304172098</v>
      </c>
      <c r="AC290" s="83">
        <v>487471.32019934902</v>
      </c>
      <c r="AD290" s="83">
        <v>1097210.43063474</v>
      </c>
      <c r="AE290" s="83">
        <v>1076.44201660156</v>
      </c>
    </row>
    <row r="291" spans="28:31">
      <c r="AB291" s="83">
        <v>20.887731365693</v>
      </c>
      <c r="AC291" s="83">
        <v>487471.34760140599</v>
      </c>
      <c r="AD291" s="83">
        <v>1097210.5308759401</v>
      </c>
      <c r="AE291" s="83">
        <v>1076.39501953125</v>
      </c>
    </row>
    <row r="292" spans="28:31">
      <c r="AB292" s="83">
        <v>20.991650427213798</v>
      </c>
      <c r="AC292" s="83">
        <v>487471.37500346301</v>
      </c>
      <c r="AD292" s="83">
        <v>1097210.63111715</v>
      </c>
      <c r="AE292" s="83">
        <v>1076.23596191406</v>
      </c>
    </row>
    <row r="293" spans="28:31">
      <c r="AB293" s="83">
        <v>21.0955694887347</v>
      </c>
      <c r="AC293" s="83">
        <v>487471.40240552003</v>
      </c>
      <c r="AD293" s="83">
        <v>1097210.73135835</v>
      </c>
      <c r="AE293" s="83">
        <v>1076.18603515625</v>
      </c>
    </row>
    <row r="294" spans="28:31">
      <c r="AB294" s="83">
        <v>21.199488550255602</v>
      </c>
      <c r="AC294" s="83">
        <v>487471.42980757699</v>
      </c>
      <c r="AD294" s="83">
        <v>1097210.8315995501</v>
      </c>
      <c r="AE294" s="83">
        <v>1076.18603515625</v>
      </c>
    </row>
    <row r="295" spans="28:31">
      <c r="AB295" s="83">
        <v>21.3034076117764</v>
      </c>
      <c r="AC295" s="83">
        <v>487471.45720963302</v>
      </c>
      <c r="AD295" s="83">
        <v>1097210.9318407499</v>
      </c>
      <c r="AE295" s="83">
        <v>1076.01196289062</v>
      </c>
    </row>
    <row r="296" spans="28:31">
      <c r="AB296" s="83">
        <v>21.407326673297302</v>
      </c>
      <c r="AC296" s="83">
        <v>487471.48461168999</v>
      </c>
      <c r="AD296" s="83">
        <v>1097211.03208196</v>
      </c>
      <c r="AE296" s="83">
        <v>1075.9580078125</v>
      </c>
    </row>
    <row r="297" spans="28:31">
      <c r="AB297" s="83">
        <v>21.5112457348181</v>
      </c>
      <c r="AC297" s="83">
        <v>487471.51201374701</v>
      </c>
      <c r="AD297" s="83">
        <v>1097211.1323231601</v>
      </c>
      <c r="AE297" s="83">
        <v>1075.83605957031</v>
      </c>
    </row>
    <row r="298" spans="28:31">
      <c r="AB298" s="83">
        <v>21.615164796338998</v>
      </c>
      <c r="AC298" s="83">
        <v>487471.53941580403</v>
      </c>
      <c r="AD298" s="83">
        <v>1097211.2325643599</v>
      </c>
      <c r="AE298" s="83">
        <v>1075.76599121093</v>
      </c>
    </row>
    <row r="299" spans="28:31">
      <c r="AB299" s="83">
        <v>21.7190838578599</v>
      </c>
      <c r="AC299" s="83">
        <v>487471.56681786099</v>
      </c>
      <c r="AD299" s="83">
        <v>1097211.33280556</v>
      </c>
      <c r="AE299" s="83">
        <v>1075.52600097656</v>
      </c>
    </row>
    <row r="300" spans="28:31">
      <c r="AB300" s="83">
        <v>21.823002919380698</v>
      </c>
      <c r="AC300" s="83">
        <v>487471.59421991801</v>
      </c>
      <c r="AD300" s="83">
        <v>1097211.43304676</v>
      </c>
      <c r="AE300" s="83">
        <v>1075.46496582031</v>
      </c>
    </row>
    <row r="301" spans="28:31">
      <c r="AB301" s="83">
        <v>21.9269219809016</v>
      </c>
      <c r="AC301" s="83">
        <v>487471.62162197498</v>
      </c>
      <c r="AD301" s="83">
        <v>1097211.5332879699</v>
      </c>
      <c r="AE301" s="83">
        <v>1075.40295410156</v>
      </c>
    </row>
    <row r="302" spans="28:31">
      <c r="AB302" s="83">
        <v>22.030841042422399</v>
      </c>
      <c r="AC302" s="83">
        <v>487471.649024032</v>
      </c>
      <c r="AD302" s="83">
        <v>1097211.63352917</v>
      </c>
      <c r="AE302" s="83">
        <v>1075.40295410156</v>
      </c>
    </row>
    <row r="303" spans="28:31">
      <c r="AB303" s="83">
        <v>22.1347601039433</v>
      </c>
      <c r="AC303" s="83">
        <v>487471.67642608902</v>
      </c>
      <c r="AD303" s="83">
        <v>1097211.73377037</v>
      </c>
      <c r="AE303" s="83">
        <v>1075.29699707031</v>
      </c>
    </row>
    <row r="304" spans="28:31">
      <c r="AB304" s="83">
        <v>22.238679165464202</v>
      </c>
      <c r="AC304" s="83">
        <v>487471.70382814598</v>
      </c>
      <c r="AD304" s="83">
        <v>1097211.8340115701</v>
      </c>
      <c r="AE304" s="83">
        <v>1075.25500488281</v>
      </c>
    </row>
    <row r="305" spans="28:31">
      <c r="AB305" s="83">
        <v>22.342598226985</v>
      </c>
      <c r="AC305" s="83">
        <v>487471.731230203</v>
      </c>
      <c r="AD305" s="83">
        <v>1097211.9342527799</v>
      </c>
      <c r="AE305" s="83">
        <v>1075.22302246093</v>
      </c>
    </row>
    <row r="306" spans="28:31">
      <c r="AB306" s="83">
        <v>22.446517288505898</v>
      </c>
      <c r="AC306" s="83">
        <v>487471.75863226003</v>
      </c>
      <c r="AD306" s="83">
        <v>1097212.03449398</v>
      </c>
      <c r="AE306" s="83">
        <v>1075.10803222656</v>
      </c>
    </row>
    <row r="307" spans="28:31">
      <c r="AB307" s="83">
        <v>22.5504363500267</v>
      </c>
      <c r="AC307" s="83">
        <v>487471.78603431699</v>
      </c>
      <c r="AD307" s="83">
        <v>1097212.1347351801</v>
      </c>
      <c r="AE307" s="83">
        <v>1075.06701660156</v>
      </c>
    </row>
    <row r="308" spans="28:31">
      <c r="AB308" s="83">
        <v>22.654355411547598</v>
      </c>
      <c r="AC308" s="83">
        <v>487471.81343637302</v>
      </c>
      <c r="AD308" s="83">
        <v>1097212.2349763799</v>
      </c>
      <c r="AE308" s="83">
        <v>1075.02099609375</v>
      </c>
    </row>
    <row r="309" spans="28:31">
      <c r="AB309" s="83">
        <v>22.7582744730685</v>
      </c>
      <c r="AC309" s="83">
        <v>487471.84083842998</v>
      </c>
      <c r="AD309" s="83">
        <v>1097212.33521758</v>
      </c>
      <c r="AE309" s="83">
        <v>1074.96594238281</v>
      </c>
    </row>
    <row r="310" spans="28:31">
      <c r="AB310" s="83">
        <v>22.862193534589299</v>
      </c>
      <c r="AC310" s="83">
        <v>487471.86824048701</v>
      </c>
      <c r="AD310" s="83">
        <v>1097212.43545879</v>
      </c>
      <c r="AE310" s="83">
        <v>1074.80004882812</v>
      </c>
    </row>
    <row r="311" spans="28:31">
      <c r="AB311" s="83">
        <v>22.9661125961102</v>
      </c>
      <c r="AC311" s="83">
        <v>487471.89564254403</v>
      </c>
      <c r="AD311" s="83">
        <v>1097212.5356999901</v>
      </c>
      <c r="AE311" s="83">
        <v>1074.80004882812</v>
      </c>
    </row>
    <row r="312" spans="28:31">
      <c r="AB312" s="83">
        <v>23.070031657630999</v>
      </c>
      <c r="AC312" s="83">
        <v>487471.92304460099</v>
      </c>
      <c r="AD312" s="83">
        <v>1097212.6359411899</v>
      </c>
      <c r="AE312" s="83">
        <v>1074.71997070312</v>
      </c>
    </row>
    <row r="313" spans="28:31">
      <c r="AB313" s="83">
        <v>23.1739507191519</v>
      </c>
      <c r="AC313" s="83">
        <v>487471.95044665801</v>
      </c>
      <c r="AD313" s="83">
        <v>1097212.73618239</v>
      </c>
      <c r="AE313" s="83">
        <v>1074.64099121093</v>
      </c>
    </row>
    <row r="314" spans="28:31">
      <c r="AB314" s="83">
        <v>23.277869780672798</v>
      </c>
      <c r="AC314" s="83">
        <v>487471.97784871497</v>
      </c>
      <c r="AD314" s="83">
        <v>1097212.8364236001</v>
      </c>
      <c r="AE314" s="83">
        <v>1074.37194824218</v>
      </c>
    </row>
    <row r="315" spans="28:31">
      <c r="AB315" s="83">
        <v>23.3817888421936</v>
      </c>
      <c r="AC315" s="83">
        <v>487472.005250772</v>
      </c>
      <c r="AD315" s="83">
        <v>1097212.9366647999</v>
      </c>
      <c r="AE315" s="83">
        <v>1074.29602050781</v>
      </c>
    </row>
    <row r="316" spans="28:31">
      <c r="AB316" s="83">
        <v>23.485707903714498</v>
      </c>
      <c r="AC316" s="83">
        <v>487472.03265282902</v>
      </c>
      <c r="AD316" s="83">
        <v>1097213.036906</v>
      </c>
      <c r="AE316" s="83">
        <v>1074.22399902343</v>
      </c>
    </row>
    <row r="317" spans="28:31">
      <c r="AB317" s="83">
        <v>23.5896269652354</v>
      </c>
      <c r="AC317" s="83">
        <v>487472.06005488598</v>
      </c>
      <c r="AD317" s="83">
        <v>1097213.1371472001</v>
      </c>
      <c r="AE317" s="83">
        <v>1074.0419921875</v>
      </c>
    </row>
    <row r="318" spans="28:31">
      <c r="AB318" s="83">
        <v>23.693546026756199</v>
      </c>
      <c r="AC318" s="83">
        <v>487472.087456943</v>
      </c>
      <c r="AD318" s="83">
        <v>1097213.2373883999</v>
      </c>
      <c r="AE318" s="83">
        <v>1073.99096679687</v>
      </c>
    </row>
    <row r="319" spans="28:31">
      <c r="AB319" s="83">
        <v>23.7974650882771</v>
      </c>
      <c r="AC319" s="83">
        <v>487472.11485900002</v>
      </c>
      <c r="AD319" s="83">
        <v>1097213.33762961</v>
      </c>
      <c r="AE319" s="83">
        <v>1073.99096679687</v>
      </c>
    </row>
    <row r="320" spans="28:31">
      <c r="AB320" s="83">
        <v>23.901384149797899</v>
      </c>
      <c r="AC320" s="83">
        <v>487472.14226105699</v>
      </c>
      <c r="AD320" s="83">
        <v>1097213.43787081</v>
      </c>
      <c r="AE320" s="83">
        <v>1073.97302246093</v>
      </c>
    </row>
    <row r="321" spans="28:31">
      <c r="AB321" s="83">
        <v>24.0053032113188</v>
      </c>
      <c r="AC321" s="83">
        <v>487472.16966311401</v>
      </c>
      <c r="AD321" s="83">
        <v>1097213.5381120101</v>
      </c>
      <c r="AE321" s="83">
        <v>1073.86096191406</v>
      </c>
    </row>
    <row r="322" spans="28:31">
      <c r="AB322" s="83">
        <v>24.109222272839698</v>
      </c>
      <c r="AC322" s="83">
        <v>487472.19706516998</v>
      </c>
      <c r="AD322" s="83">
        <v>1097213.6383532099</v>
      </c>
      <c r="AE322" s="83">
        <v>1073.90002441406</v>
      </c>
    </row>
    <row r="323" spans="28:31">
      <c r="AB323" s="83">
        <v>24.2131413343605</v>
      </c>
      <c r="AC323" s="83">
        <v>487472.224467227</v>
      </c>
      <c r="AD323" s="83">
        <v>1097213.73859442</v>
      </c>
      <c r="AE323" s="83">
        <v>1073.916015625</v>
      </c>
    </row>
    <row r="324" spans="28:31">
      <c r="AB324" s="83">
        <v>24.317060395881398</v>
      </c>
      <c r="AC324" s="83">
        <v>487472.25186928402</v>
      </c>
      <c r="AD324" s="83">
        <v>1097213.8388356201</v>
      </c>
      <c r="AE324" s="83">
        <v>1073.75305175781</v>
      </c>
    </row>
    <row r="325" spans="28:31">
      <c r="AB325" s="83">
        <v>24.420979457402201</v>
      </c>
      <c r="AC325" s="83">
        <v>487472.27927134099</v>
      </c>
      <c r="AD325" s="83">
        <v>1097213.9390768199</v>
      </c>
      <c r="AE325" s="83">
        <v>1073.74597167968</v>
      </c>
    </row>
    <row r="326" spans="28:31">
      <c r="AB326" s="83">
        <v>24.524898518923099</v>
      </c>
      <c r="AC326" s="83">
        <v>487472.30667339801</v>
      </c>
      <c r="AD326" s="83">
        <v>1097214.03931802</v>
      </c>
      <c r="AE326" s="83">
        <v>1073.73095703125</v>
      </c>
    </row>
    <row r="327" spans="28:31">
      <c r="AB327" s="83">
        <v>24.628817580444</v>
      </c>
      <c r="AC327" s="83">
        <v>487472.33407545497</v>
      </c>
      <c r="AD327" s="83">
        <v>1097214.1395592201</v>
      </c>
      <c r="AE327" s="83">
        <v>1073.708984375</v>
      </c>
    </row>
    <row r="328" spans="28:31">
      <c r="AB328" s="83">
        <v>24.732736641964799</v>
      </c>
      <c r="AC328" s="83">
        <v>487472.36147751199</v>
      </c>
      <c r="AD328" s="83">
        <v>1097214.2398004299</v>
      </c>
      <c r="AE328" s="83">
        <v>1073.64294433593</v>
      </c>
    </row>
    <row r="329" spans="28:31">
      <c r="AB329" s="83">
        <v>24.8366557034857</v>
      </c>
      <c r="AC329" s="83">
        <v>487472.38887956901</v>
      </c>
      <c r="AD329" s="83">
        <v>1097214.34004163</v>
      </c>
      <c r="AE329" s="83">
        <v>1073.62902832031</v>
      </c>
    </row>
    <row r="330" spans="28:31">
      <c r="AB330" s="83">
        <v>24.940574765006499</v>
      </c>
      <c r="AC330" s="83">
        <v>487472.41628162598</v>
      </c>
      <c r="AD330" s="83">
        <v>1097214.44028283</v>
      </c>
      <c r="AE330" s="83">
        <v>1073.68200683593</v>
      </c>
    </row>
    <row r="331" spans="28:31">
      <c r="AB331" s="83">
        <v>25.0444938265274</v>
      </c>
      <c r="AC331" s="83">
        <v>487472.443683683</v>
      </c>
      <c r="AD331" s="83">
        <v>1097214.5405240301</v>
      </c>
      <c r="AE331" s="83">
        <v>1073.71105957031</v>
      </c>
    </row>
    <row r="332" spans="28:31">
      <c r="AB332" s="83">
        <v>25.148412888048298</v>
      </c>
      <c r="AC332" s="83">
        <v>487472.47108574002</v>
      </c>
      <c r="AD332" s="83">
        <v>1097214.64076524</v>
      </c>
      <c r="AE332" s="83">
        <v>1073.54699707031</v>
      </c>
    </row>
    <row r="333" spans="28:31">
      <c r="AB333" s="83">
        <v>25.252331949569101</v>
      </c>
      <c r="AC333" s="83">
        <v>487472.49848779698</v>
      </c>
      <c r="AD333" s="83">
        <v>1097214.74100644</v>
      </c>
      <c r="AE333" s="83">
        <v>1073.49694824218</v>
      </c>
    </row>
    <row r="334" spans="28:31">
      <c r="AB334" s="83">
        <v>25.356251011089999</v>
      </c>
      <c r="AC334" s="83">
        <v>487472.52588985401</v>
      </c>
      <c r="AD334" s="83">
        <v>1097214.8412476401</v>
      </c>
      <c r="AE334" s="83">
        <v>1073.43798828125</v>
      </c>
    </row>
    <row r="335" spans="28:31">
      <c r="AB335" s="83">
        <v>25.460170072610801</v>
      </c>
      <c r="AC335" s="83">
        <v>487472.55329191103</v>
      </c>
      <c r="AD335" s="83">
        <v>1097214.9414888399</v>
      </c>
      <c r="AE335" s="83">
        <v>1073.27001953125</v>
      </c>
    </row>
    <row r="336" spans="28:31">
      <c r="AB336" s="83">
        <v>25.564089134131699</v>
      </c>
      <c r="AC336" s="83">
        <v>487472.58069396799</v>
      </c>
      <c r="AD336" s="83">
        <v>1097215.04173004</v>
      </c>
      <c r="AE336" s="83">
        <v>1073.27001953125</v>
      </c>
    </row>
    <row r="337" spans="28:31">
      <c r="AB337" s="83">
        <v>25.6680081956526</v>
      </c>
      <c r="AC337" s="83">
        <v>487472.60809602402</v>
      </c>
      <c r="AD337" s="83">
        <v>1097215.1419712501</v>
      </c>
      <c r="AE337" s="83">
        <v>1073.19995117187</v>
      </c>
    </row>
    <row r="338" spans="28:31">
      <c r="AB338" s="83">
        <v>25.771927257173399</v>
      </c>
      <c r="AC338" s="83">
        <v>487472.63549808098</v>
      </c>
      <c r="AD338" s="83">
        <v>1097215.2422124499</v>
      </c>
      <c r="AE338" s="83">
        <v>1073.0849609375</v>
      </c>
    </row>
    <row r="339" spans="28:31">
      <c r="AB339" s="83">
        <v>25.8758463186943</v>
      </c>
      <c r="AC339" s="83">
        <v>487472.66290013801</v>
      </c>
      <c r="AD339" s="83">
        <v>1097215.34245365</v>
      </c>
      <c r="AE339" s="83">
        <v>1072.91394042968</v>
      </c>
    </row>
    <row r="340" spans="28:31">
      <c r="AB340" s="83">
        <v>25.979765380215198</v>
      </c>
      <c r="AC340" s="83">
        <v>487472.69030219503</v>
      </c>
      <c r="AD340" s="83">
        <v>1097215.44269485</v>
      </c>
      <c r="AE340" s="83">
        <v>1072.873046875</v>
      </c>
    </row>
    <row r="341" spans="28:31">
      <c r="AB341" s="83">
        <v>26.083684441736001</v>
      </c>
      <c r="AC341" s="83">
        <v>487472.71770425199</v>
      </c>
      <c r="AD341" s="83">
        <v>1097215.5429360601</v>
      </c>
      <c r="AE341" s="83">
        <v>1072.83203125</v>
      </c>
    </row>
    <row r="342" spans="28:31">
      <c r="AB342" s="83">
        <v>26.187603503256899</v>
      </c>
      <c r="AC342" s="83">
        <v>487472.74510630901</v>
      </c>
      <c r="AD342" s="83">
        <v>1097215.6431772599</v>
      </c>
      <c r="AE342" s="83">
        <v>1072.80102539062</v>
      </c>
    </row>
    <row r="343" spans="28:31">
      <c r="AB343" s="83">
        <v>26.291522564777701</v>
      </c>
      <c r="AC343" s="83">
        <v>487472.77250836598</v>
      </c>
      <c r="AD343" s="83">
        <v>1097215.74341846</v>
      </c>
      <c r="AE343" s="83">
        <v>1072.65405273437</v>
      </c>
    </row>
    <row r="344" spans="28:31">
      <c r="AB344" s="83">
        <v>26.395441626298599</v>
      </c>
      <c r="AC344" s="83">
        <v>487472.799910423</v>
      </c>
      <c r="AD344" s="83">
        <v>1097215.8436596601</v>
      </c>
      <c r="AE344" s="83">
        <v>1072.623046875</v>
      </c>
    </row>
    <row r="345" spans="28:31">
      <c r="AB345" s="83">
        <v>26.4993606878195</v>
      </c>
      <c r="AC345" s="83">
        <v>487472.82731248002</v>
      </c>
      <c r="AD345" s="83">
        <v>1097215.9439008599</v>
      </c>
      <c r="AE345" s="83">
        <v>1072.623046875</v>
      </c>
    </row>
    <row r="346" spans="28:31">
      <c r="AB346" s="83">
        <v>26.603279749340299</v>
      </c>
      <c r="AC346" s="83">
        <v>487472.85471453698</v>
      </c>
      <c r="AD346" s="83">
        <v>1097216.04414207</v>
      </c>
      <c r="AE346" s="83">
        <v>1072.44897460937</v>
      </c>
    </row>
    <row r="347" spans="28:31">
      <c r="AB347" s="83">
        <v>26.7071988108612</v>
      </c>
      <c r="AC347" s="83">
        <v>487472.882116594</v>
      </c>
      <c r="AD347" s="83">
        <v>1097216.1443832701</v>
      </c>
      <c r="AE347" s="83">
        <v>1072.42004394531</v>
      </c>
    </row>
    <row r="348" spans="28:31">
      <c r="AB348" s="83">
        <v>26.811117872381999</v>
      </c>
      <c r="AC348" s="83">
        <v>487472.90951865102</v>
      </c>
      <c r="AD348" s="83">
        <v>1097216.2446244699</v>
      </c>
      <c r="AE348" s="83">
        <v>1072.38500976562</v>
      </c>
    </row>
    <row r="349" spans="28:31">
      <c r="AB349" s="83">
        <v>26.915036933902901</v>
      </c>
      <c r="AC349" s="83">
        <v>487472.93692070799</v>
      </c>
      <c r="AD349" s="83">
        <v>1097216.34486567</v>
      </c>
      <c r="AE349" s="83">
        <v>1072.34204101562</v>
      </c>
    </row>
    <row r="350" spans="28:31">
      <c r="AB350" s="83">
        <v>27.018955995423799</v>
      </c>
      <c r="AC350" s="83">
        <v>487472.96432276402</v>
      </c>
      <c r="AD350" s="83">
        <v>1097216.44510688</v>
      </c>
      <c r="AE350" s="83">
        <v>1072.09594726562</v>
      </c>
    </row>
    <row r="351" spans="28:31">
      <c r="AB351" s="83">
        <v>27.122875056944601</v>
      </c>
      <c r="AC351" s="83">
        <v>487472.99172482098</v>
      </c>
      <c r="AD351" s="83">
        <v>1097216.5453480801</v>
      </c>
      <c r="AE351" s="83">
        <v>1072.05798339843</v>
      </c>
    </row>
    <row r="352" spans="28:31">
      <c r="AB352" s="83">
        <v>27.226794118465499</v>
      </c>
      <c r="AC352" s="83">
        <v>487473.019126878</v>
      </c>
      <c r="AD352" s="83">
        <v>1097216.6455892799</v>
      </c>
      <c r="AE352" s="83">
        <v>1072.01599121093</v>
      </c>
    </row>
    <row r="353" spans="28:31">
      <c r="AB353" s="83">
        <v>27.330713179986301</v>
      </c>
      <c r="AC353" s="83">
        <v>487473.04652893502</v>
      </c>
      <c r="AD353" s="83">
        <v>1097216.74583048</v>
      </c>
      <c r="AE353" s="83">
        <v>1072.01599121093</v>
      </c>
    </row>
    <row r="354" spans="28:31">
      <c r="AB354" s="83">
        <v>27.434632241507199</v>
      </c>
      <c r="AC354" s="83">
        <v>487473.07393099199</v>
      </c>
      <c r="AD354" s="83">
        <v>1097216.8460716801</v>
      </c>
      <c r="AE354" s="83">
        <v>1071.876953125</v>
      </c>
    </row>
    <row r="355" spans="28:31">
      <c r="AB355" s="83">
        <v>27.5385513030281</v>
      </c>
      <c r="AC355" s="83">
        <v>487473.10133304901</v>
      </c>
      <c r="AD355" s="83">
        <v>1097216.9463128899</v>
      </c>
      <c r="AE355" s="83">
        <v>1071.85900878906</v>
      </c>
    </row>
    <row r="356" spans="28:31">
      <c r="AB356" s="83">
        <v>27.642470364548899</v>
      </c>
      <c r="AC356" s="83">
        <v>487473.12873510597</v>
      </c>
      <c r="AD356" s="83">
        <v>1097217.04655409</v>
      </c>
      <c r="AE356" s="83">
        <v>1071.84497070312</v>
      </c>
    </row>
    <row r="357" spans="28:31">
      <c r="AB357" s="83">
        <v>27.746389426069801</v>
      </c>
      <c r="AC357" s="83">
        <v>487473.15613716299</v>
      </c>
      <c r="AD357" s="83">
        <v>1097217.1467952901</v>
      </c>
      <c r="AE357" s="83">
        <v>1071.7919921875</v>
      </c>
    </row>
    <row r="358" spans="28:31">
      <c r="AB358" s="83">
        <v>27.850308487590599</v>
      </c>
      <c r="AC358" s="83">
        <v>487473.18353922002</v>
      </c>
      <c r="AD358" s="83">
        <v>1097217.2470364899</v>
      </c>
      <c r="AE358" s="83">
        <v>1071.78601074218</v>
      </c>
    </row>
    <row r="359" spans="28:31">
      <c r="AB359" s="83">
        <v>27.954227549111501</v>
      </c>
      <c r="AC359" s="83">
        <v>487473.21094127698</v>
      </c>
      <c r="AD359" s="83">
        <v>1097217.3472777</v>
      </c>
      <c r="AE359" s="83">
        <v>1071.78698730468</v>
      </c>
    </row>
    <row r="360" spans="28:31">
      <c r="AB360" s="83">
        <v>28.058146610632399</v>
      </c>
      <c r="AC360" s="83">
        <v>487473.238343334</v>
      </c>
      <c r="AD360" s="83">
        <v>1097217.4475189</v>
      </c>
      <c r="AE360" s="83">
        <v>1071.78295898437</v>
      </c>
    </row>
    <row r="361" spans="28:31">
      <c r="AB361" s="83">
        <v>28.162065672153201</v>
      </c>
      <c r="AC361" s="83">
        <v>487473.26574539102</v>
      </c>
      <c r="AD361" s="83">
        <v>1097217.5477601001</v>
      </c>
      <c r="AE361" s="83">
        <v>1071.76293945312</v>
      </c>
    </row>
    <row r="362" spans="28:31">
      <c r="AB362" s="83">
        <v>28.265984733674099</v>
      </c>
      <c r="AC362" s="83">
        <v>487473.29314744798</v>
      </c>
      <c r="AD362" s="83">
        <v>1097217.6480012999</v>
      </c>
      <c r="AE362" s="83">
        <v>1071.76293945312</v>
      </c>
    </row>
    <row r="363" spans="28:31">
      <c r="AB363" s="83">
        <v>28.369903795195</v>
      </c>
      <c r="AC363" s="83">
        <v>487473.32054950501</v>
      </c>
      <c r="AD363" s="83">
        <v>1097217.7482425</v>
      </c>
      <c r="AE363" s="83">
        <v>1071.77001953125</v>
      </c>
    </row>
    <row r="364" spans="28:31">
      <c r="AB364" s="83">
        <v>28.473822856715799</v>
      </c>
      <c r="AC364" s="83">
        <v>487473.34795156098</v>
      </c>
      <c r="AD364" s="83">
        <v>1097217.8484837101</v>
      </c>
      <c r="AE364" s="83">
        <v>1071.78295898437</v>
      </c>
    </row>
    <row r="365" spans="28:31">
      <c r="AB365" s="83">
        <v>28.577741918236701</v>
      </c>
      <c r="AC365" s="83">
        <v>487473.375353618</v>
      </c>
      <c r="AD365" s="83">
        <v>1097217.9487249099</v>
      </c>
      <c r="AE365" s="83">
        <v>1071.81103515625</v>
      </c>
    </row>
    <row r="366" spans="28:31">
      <c r="AB366" s="83">
        <v>28.681660979757499</v>
      </c>
      <c r="AC366" s="83">
        <v>487473.40275567502</v>
      </c>
      <c r="AD366" s="83">
        <v>1097218.04896611</v>
      </c>
      <c r="AE366" s="83">
        <v>1071.84899902343</v>
      </c>
    </row>
    <row r="367" spans="28:31">
      <c r="AB367" s="83">
        <v>28.785580041278401</v>
      </c>
      <c r="AC367" s="83">
        <v>487473.43015773199</v>
      </c>
      <c r="AD367" s="83">
        <v>1097218.1492073101</v>
      </c>
      <c r="AE367" s="83">
        <v>1071.8349609375</v>
      </c>
    </row>
    <row r="368" spans="28:31">
      <c r="AB368" s="83">
        <v>28.889499102799299</v>
      </c>
      <c r="AC368" s="83">
        <v>487473.45755978901</v>
      </c>
      <c r="AD368" s="83">
        <v>1097218.2494485199</v>
      </c>
      <c r="AE368" s="83">
        <v>1071.81298828125</v>
      </c>
    </row>
    <row r="369" spans="28:31">
      <c r="AB369" s="83">
        <v>28.993418164320101</v>
      </c>
      <c r="AC369" s="83">
        <v>487473.48496184603</v>
      </c>
      <c r="AD369" s="83">
        <v>1097218.34968972</v>
      </c>
      <c r="AE369" s="83">
        <v>1071.66796875</v>
      </c>
    </row>
    <row r="370" spans="28:31">
      <c r="AB370" s="83">
        <v>29.097337225840999</v>
      </c>
      <c r="AC370" s="83">
        <v>487473.51236390299</v>
      </c>
      <c r="AD370" s="83">
        <v>1097218.44993092</v>
      </c>
      <c r="AE370" s="83">
        <v>1071.66796875</v>
      </c>
    </row>
    <row r="371" spans="28:31">
      <c r="AB371" s="83">
        <v>29.201256287361801</v>
      </c>
      <c r="AC371" s="83">
        <v>487473.53976596001</v>
      </c>
      <c r="AD371" s="83">
        <v>1097218.5501721201</v>
      </c>
      <c r="AE371" s="83">
        <v>1071.61694335937</v>
      </c>
    </row>
    <row r="372" spans="28:31">
      <c r="AB372" s="83">
        <v>29.305175348882699</v>
      </c>
      <c r="AC372" s="83">
        <v>487473.56716801698</v>
      </c>
      <c r="AD372" s="83">
        <v>1097218.6504133199</v>
      </c>
      <c r="AE372" s="83">
        <v>1071.58996582031</v>
      </c>
    </row>
    <row r="373" spans="28:31">
      <c r="AB373" s="83">
        <v>29.409094410403601</v>
      </c>
      <c r="AC373" s="83">
        <v>487473.594570074</v>
      </c>
      <c r="AD373" s="83">
        <v>1097218.75065453</v>
      </c>
      <c r="AE373" s="83">
        <v>1071.5810546875</v>
      </c>
    </row>
    <row r="374" spans="28:31">
      <c r="AB374" s="83">
        <v>29.513013471924399</v>
      </c>
      <c r="AC374" s="83">
        <v>487473.62197213102</v>
      </c>
      <c r="AD374" s="83">
        <v>1097218.8508957301</v>
      </c>
      <c r="AE374" s="83">
        <v>1071.56396484375</v>
      </c>
    </row>
    <row r="375" spans="28:31">
      <c r="AB375" s="83">
        <v>29.616932533445301</v>
      </c>
      <c r="AC375" s="83">
        <v>487473.64937418798</v>
      </c>
      <c r="AD375" s="83">
        <v>1097218.9511369299</v>
      </c>
      <c r="AE375" s="83">
        <v>1071.5439453125</v>
      </c>
    </row>
    <row r="376" spans="28:31">
      <c r="AB376" s="83">
        <v>29.720851594966099</v>
      </c>
      <c r="AC376" s="83">
        <v>487473.676776245</v>
      </c>
      <c r="AD376" s="83">
        <v>1097219.05137813</v>
      </c>
      <c r="AE376" s="83">
        <v>1071.51196289062</v>
      </c>
    </row>
    <row r="377" spans="28:31">
      <c r="AB377" s="83">
        <v>29.824770656487001</v>
      </c>
      <c r="AC377" s="83">
        <v>487473.70417830202</v>
      </c>
      <c r="AD377" s="83">
        <v>1097219.1516193401</v>
      </c>
      <c r="AE377" s="83">
        <v>1071.46704101562</v>
      </c>
    </row>
    <row r="378" spans="28:31">
      <c r="AB378" s="83">
        <v>29.928689718007899</v>
      </c>
      <c r="AC378" s="83">
        <v>487473.73158035899</v>
      </c>
      <c r="AD378" s="83">
        <v>1097219.2518605399</v>
      </c>
      <c r="AE378" s="83">
        <v>1071.46704101562</v>
      </c>
    </row>
    <row r="379" spans="28:31">
      <c r="AB379" s="83">
        <v>30.032608779528701</v>
      </c>
      <c r="AC379" s="83">
        <v>487473.75898241502</v>
      </c>
      <c r="AD379" s="83">
        <v>1097219.35210174</v>
      </c>
      <c r="AE379" s="83">
        <v>1071.44104003906</v>
      </c>
    </row>
    <row r="380" spans="28:31">
      <c r="AB380" s="83">
        <v>30.136527841049599</v>
      </c>
      <c r="AC380" s="83">
        <v>487473.78638447198</v>
      </c>
      <c r="AD380" s="83">
        <v>1097219.45234294</v>
      </c>
      <c r="AE380" s="83">
        <v>1071.41796875</v>
      </c>
    </row>
    <row r="381" spans="28:31">
      <c r="AB381" s="83">
        <v>30.240446902570401</v>
      </c>
      <c r="AC381" s="83">
        <v>487473.813786529</v>
      </c>
      <c r="AD381" s="83">
        <v>1097219.5525841401</v>
      </c>
      <c r="AE381" s="83">
        <v>1071.43505859375</v>
      </c>
    </row>
    <row r="382" spans="28:31">
      <c r="AB382" s="83">
        <v>30.344365964091299</v>
      </c>
      <c r="AC382" s="83">
        <v>487473.84118858603</v>
      </c>
      <c r="AD382" s="83">
        <v>1097219.6528253499</v>
      </c>
      <c r="AE382" s="83">
        <v>1071.44897460937</v>
      </c>
    </row>
    <row r="383" spans="28:31">
      <c r="AB383" s="83">
        <v>30.448285025612201</v>
      </c>
      <c r="AC383" s="83">
        <v>487473.86859064299</v>
      </c>
      <c r="AD383" s="83">
        <v>1097219.75306655</v>
      </c>
      <c r="AE383" s="83">
        <v>1071.46899414062</v>
      </c>
    </row>
    <row r="384" spans="28:31">
      <c r="AB384" s="83">
        <v>30.552204087132999</v>
      </c>
      <c r="AC384" s="83">
        <v>487473.89599270001</v>
      </c>
      <c r="AD384" s="83">
        <v>1097219.8533077501</v>
      </c>
      <c r="AE384" s="83">
        <v>1071.47302246093</v>
      </c>
    </row>
    <row r="385" spans="28:31">
      <c r="AB385" s="83">
        <v>30.656123148653901</v>
      </c>
      <c r="AC385" s="83">
        <v>487473.92339475697</v>
      </c>
      <c r="AD385" s="83">
        <v>1097219.9535489499</v>
      </c>
      <c r="AE385" s="83">
        <v>1071.47204589843</v>
      </c>
    </row>
    <row r="386" spans="28:31">
      <c r="AB386" s="83">
        <v>30.760042210174799</v>
      </c>
      <c r="AC386" s="83">
        <v>487473.950796814</v>
      </c>
      <c r="AD386" s="83">
        <v>1097220.05379016</v>
      </c>
      <c r="AE386" s="83">
        <v>1071.46496582031</v>
      </c>
    </row>
    <row r="387" spans="28:31">
      <c r="AB387" s="83">
        <v>30.863961271695601</v>
      </c>
      <c r="AC387" s="83">
        <v>487473.97819887102</v>
      </c>
      <c r="AD387" s="83">
        <v>1097220.1540313601</v>
      </c>
      <c r="AE387" s="83">
        <v>1071.4580078125</v>
      </c>
    </row>
    <row r="388" spans="28:31">
      <c r="AB388" s="83">
        <v>30.967880333216499</v>
      </c>
      <c r="AC388" s="83">
        <v>487474.00560092798</v>
      </c>
      <c r="AD388" s="83">
        <v>1097220.2542725599</v>
      </c>
      <c r="AE388" s="83">
        <v>1071.48303222656</v>
      </c>
    </row>
    <row r="389" spans="28:31">
      <c r="AB389" s="83">
        <v>31.071799394737301</v>
      </c>
      <c r="AC389" s="83">
        <v>487474.033002985</v>
      </c>
      <c r="AD389" s="83">
        <v>1097220.35451376</v>
      </c>
      <c r="AE389" s="83">
        <v>1071.56103515625</v>
      </c>
    </row>
    <row r="390" spans="28:31">
      <c r="AB390" s="83">
        <v>31.175718456258199</v>
      </c>
      <c r="AC390" s="83">
        <v>487474.06040504202</v>
      </c>
      <c r="AD390" s="83">
        <v>1097220.45475496</v>
      </c>
      <c r="AE390" s="83">
        <v>1071.50598144531</v>
      </c>
    </row>
    <row r="391" spans="28:31">
      <c r="AB391" s="83">
        <v>31.279637517779101</v>
      </c>
      <c r="AC391" s="83">
        <v>487474.08780709899</v>
      </c>
      <c r="AD391" s="83">
        <v>1097220.5549961701</v>
      </c>
      <c r="AE391" s="83">
        <v>1071.49694824218</v>
      </c>
    </row>
    <row r="392" spans="28:31">
      <c r="AB392" s="83">
        <v>31.383556579299899</v>
      </c>
      <c r="AC392" s="83">
        <v>487474.11520915601</v>
      </c>
      <c r="AD392" s="83">
        <v>1097220.6552373699</v>
      </c>
      <c r="AE392" s="83">
        <v>1071.48999023437</v>
      </c>
    </row>
    <row r="393" spans="28:31">
      <c r="AB393" s="83">
        <v>31.487475640820801</v>
      </c>
      <c r="AC393" s="83">
        <v>487474.14261121198</v>
      </c>
      <c r="AD393" s="83">
        <v>1097220.75547857</v>
      </c>
      <c r="AE393" s="83">
        <v>1071.48498535156</v>
      </c>
    </row>
    <row r="394" spans="28:31">
      <c r="AB394" s="83">
        <v>31.591394702341599</v>
      </c>
      <c r="AC394" s="83">
        <v>487474.170013269</v>
      </c>
      <c r="AD394" s="83">
        <v>1097220.8557197701</v>
      </c>
      <c r="AE394" s="83">
        <v>1071.52905273437</v>
      </c>
    </row>
    <row r="395" spans="28:31">
      <c r="AB395" s="83">
        <v>31.695313763862501</v>
      </c>
      <c r="AC395" s="83">
        <v>487474.19741532602</v>
      </c>
      <c r="AD395" s="83">
        <v>1097220.9559609799</v>
      </c>
      <c r="AE395" s="83">
        <v>1071.52905273437</v>
      </c>
    </row>
    <row r="396" spans="28:31">
      <c r="AB396" s="83">
        <v>31.799232825383399</v>
      </c>
      <c r="AC396" s="83">
        <v>487474.22481738299</v>
      </c>
      <c r="AD396" s="83">
        <v>1097221.05620218</v>
      </c>
      <c r="AE396" s="83">
        <v>1071.44702148437</v>
      </c>
    </row>
    <row r="397" spans="28:31">
      <c r="AB397" s="83">
        <v>31.903151886904201</v>
      </c>
      <c r="AC397" s="83">
        <v>487474.25221944001</v>
      </c>
      <c r="AD397" s="83">
        <v>1097221.1564433801</v>
      </c>
      <c r="AE397" s="83">
        <v>1071.45300292968</v>
      </c>
    </row>
    <row r="398" spans="28:31">
      <c r="AB398" s="83">
        <v>32.007070948425103</v>
      </c>
      <c r="AC398" s="83">
        <v>487474.27962149697</v>
      </c>
      <c r="AD398" s="83">
        <v>1097221.2566845799</v>
      </c>
      <c r="AE398" s="83">
        <v>1071.50305175781</v>
      </c>
    </row>
    <row r="399" spans="28:31">
      <c r="AB399" s="83">
        <v>32.110990009945901</v>
      </c>
      <c r="AC399" s="83">
        <v>487474.30702355399</v>
      </c>
      <c r="AD399" s="83">
        <v>1097221.35692578</v>
      </c>
      <c r="AE399" s="83">
        <v>1071.44995117187</v>
      </c>
    </row>
    <row r="400" spans="28:31">
      <c r="AB400" s="83">
        <v>32.214909071466799</v>
      </c>
      <c r="AC400" s="83">
        <v>487474.33442561101</v>
      </c>
      <c r="AD400" s="83">
        <v>1097221.45716699</v>
      </c>
      <c r="AE400" s="83">
        <v>1071.44897460937</v>
      </c>
    </row>
    <row r="401" spans="28:31">
      <c r="AB401" s="83">
        <v>32.318828132987697</v>
      </c>
      <c r="AC401" s="83">
        <v>487474.36182766798</v>
      </c>
      <c r="AD401" s="83">
        <v>1097221.5574081901</v>
      </c>
      <c r="AE401" s="83">
        <v>1071.45202636718</v>
      </c>
    </row>
    <row r="402" spans="28:31">
      <c r="AB402" s="83">
        <v>32.422747194508503</v>
      </c>
      <c r="AC402" s="83">
        <v>487474.389229725</v>
      </c>
      <c r="AD402" s="83">
        <v>1097221.6576493899</v>
      </c>
      <c r="AE402" s="83">
        <v>1071.44104003906</v>
      </c>
    </row>
    <row r="403" spans="28:31">
      <c r="AB403" s="83">
        <v>32.526666256029401</v>
      </c>
      <c r="AC403" s="83">
        <v>487474.41663178202</v>
      </c>
      <c r="AD403" s="83">
        <v>1097221.75789059</v>
      </c>
      <c r="AE403" s="83">
        <v>1071.42797851562</v>
      </c>
    </row>
    <row r="404" spans="28:31">
      <c r="AB404" s="83">
        <v>32.630585317550199</v>
      </c>
      <c r="AC404" s="83">
        <v>487474.44403383898</v>
      </c>
      <c r="AD404" s="83">
        <v>1097221.8581318001</v>
      </c>
      <c r="AE404" s="83">
        <v>1071.42797851562</v>
      </c>
    </row>
    <row r="405" spans="28:31">
      <c r="AB405" s="83">
        <v>32.734504379071097</v>
      </c>
      <c r="AC405" s="83">
        <v>487474.471435896</v>
      </c>
      <c r="AD405" s="83">
        <v>1097221.9583729999</v>
      </c>
      <c r="AE405" s="83">
        <v>1071.51904296875</v>
      </c>
    </row>
  </sheetData>
  <sheetProtection algorithmName="SHA-512" hashValue="8Xd22fXDdh0EtHLv3WO58QdSzy5yXY3N4plQwx/fM+PX0H45vtoV/px+XeA/ZB+wARabkl5ke6sOw+QXCVlqng==" saltValue="VpIem2WFtQvQGrFCFNBp6w==" spinCount="100000" sheet="1" objects="1" scenarios="1" selectLockedCells="1"/>
  <mergeCells count="35">
    <mergeCell ref="A65:D65"/>
    <mergeCell ref="K38:K41"/>
    <mergeCell ref="K42:K45"/>
    <mergeCell ref="K46:K49"/>
    <mergeCell ref="K50:K53"/>
    <mergeCell ref="K54:K57"/>
    <mergeCell ref="K58:K61"/>
    <mergeCell ref="G5:J5"/>
    <mergeCell ref="Q4:T5"/>
    <mergeCell ref="N88:Q88"/>
    <mergeCell ref="V88:Y88"/>
    <mergeCell ref="AB88:AE88"/>
    <mergeCell ref="K26:K29"/>
    <mergeCell ref="K30:K33"/>
    <mergeCell ref="C23:D23"/>
    <mergeCell ref="A19:B19"/>
    <mergeCell ref="A20:B20"/>
    <mergeCell ref="A22:F22"/>
    <mergeCell ref="A21:B21"/>
    <mergeCell ref="A1:Q1"/>
    <mergeCell ref="A3:B3"/>
    <mergeCell ref="A13:B13"/>
    <mergeCell ref="A17:B17"/>
    <mergeCell ref="K34:K37"/>
    <mergeCell ref="G6:I6"/>
    <mergeCell ref="G9:I9"/>
    <mergeCell ref="G8:I8"/>
    <mergeCell ref="A18:B18"/>
    <mergeCell ref="A12:F12"/>
    <mergeCell ref="I13:J13"/>
    <mergeCell ref="G11:I11"/>
    <mergeCell ref="G10:I10"/>
    <mergeCell ref="A23:B23"/>
    <mergeCell ref="A2:F2"/>
    <mergeCell ref="G7:I7"/>
  </mergeCells>
  <pageMargins left="0.7" right="0.7" top="0.75" bottom="0.75" header="0.3" footer="0.3"/>
  <ignoredErrors>
    <ignoredError sqref="L26:N61"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print="0" autoFill="0" autoPict="0" macro="[0]!Caida_Botón1_Haga_clic_en">
                <anchor moveWithCells="1" sizeWithCells="1">
                  <from>
                    <xdr:col>4</xdr:col>
                    <xdr:colOff>66675</xdr:colOff>
                    <xdr:row>2</xdr:row>
                    <xdr:rowOff>9525</xdr:rowOff>
                  </from>
                  <to>
                    <xdr:col>5</xdr:col>
                    <xdr:colOff>47625</xdr:colOff>
                    <xdr:row>4</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X189"/>
  <sheetViews>
    <sheetView zoomScale="60" zoomScaleNormal="60" workbookViewId="0">
      <selection activeCell="L18" sqref="L18"/>
    </sheetView>
  </sheetViews>
  <sheetFormatPr baseColWidth="10" defaultColWidth="11.42578125" defaultRowHeight="14.25"/>
  <cols>
    <col min="1" max="1" width="20.28515625" style="21" customWidth="1"/>
    <col min="2" max="2" width="10.140625" style="21" customWidth="1"/>
    <col min="3" max="3" width="17" style="21" bestFit="1" customWidth="1"/>
    <col min="4" max="4" width="15.5703125" style="21" bestFit="1" customWidth="1"/>
    <col min="5" max="5" width="15.7109375" style="21" bestFit="1" customWidth="1"/>
    <col min="6" max="6" width="14.7109375" style="21" customWidth="1"/>
    <col min="7" max="8" width="11.42578125" style="21"/>
    <col min="9" max="9" width="20" style="21" bestFit="1" customWidth="1"/>
    <col min="10" max="13" width="11.42578125" style="21"/>
    <col min="14" max="15" width="11.42578125" style="21" customWidth="1"/>
    <col min="16" max="16" width="11.42578125" style="21"/>
    <col min="17" max="17" width="9.5703125" style="21" customWidth="1"/>
    <col min="18" max="18" width="9" style="21" customWidth="1"/>
    <col min="19" max="16384" width="11.42578125" style="21"/>
  </cols>
  <sheetData>
    <row r="1" spans="1:24" ht="31.5" customHeight="1" thickBot="1">
      <c r="A1" s="435" t="s">
        <v>351</v>
      </c>
      <c r="B1" s="435"/>
      <c r="C1" s="435"/>
      <c r="D1" s="435"/>
      <c r="E1" s="435"/>
      <c r="F1" s="435"/>
      <c r="G1" s="435"/>
      <c r="H1" s="435"/>
      <c r="I1" s="435"/>
      <c r="J1" s="435"/>
      <c r="K1" s="435"/>
      <c r="L1" s="435"/>
      <c r="M1" s="435"/>
      <c r="N1" s="435"/>
      <c r="O1" s="435"/>
      <c r="P1" s="435"/>
      <c r="Q1" s="435"/>
      <c r="R1" s="41"/>
      <c r="S1" s="41"/>
      <c r="T1" s="41"/>
      <c r="U1" s="41"/>
      <c r="V1" s="41"/>
      <c r="W1" s="41"/>
      <c r="X1" s="41"/>
    </row>
    <row r="2" spans="1:24" ht="18.75" customHeight="1">
      <c r="A2" s="438" t="s">
        <v>299</v>
      </c>
      <c r="B2" s="438"/>
      <c r="C2" s="438"/>
      <c r="D2" s="438"/>
      <c r="E2" s="42"/>
      <c r="F2" s="42"/>
      <c r="G2" s="42"/>
      <c r="H2" s="42"/>
      <c r="I2" s="42"/>
      <c r="J2" s="42"/>
      <c r="K2" s="42"/>
      <c r="L2" s="42"/>
      <c r="M2" s="42"/>
      <c r="N2" s="42"/>
      <c r="O2" s="42"/>
      <c r="P2" s="42"/>
      <c r="Q2" s="42"/>
    </row>
    <row r="3" spans="1:24" ht="37.5" customHeight="1">
      <c r="A3" s="439"/>
      <c r="B3" s="439"/>
      <c r="C3" s="439"/>
      <c r="D3" s="439"/>
      <c r="E3" s="43"/>
      <c r="F3" s="43"/>
      <c r="G3" s="314" t="s">
        <v>352</v>
      </c>
      <c r="H3" s="314"/>
      <c r="I3" s="314"/>
      <c r="J3" s="314"/>
      <c r="K3" s="314"/>
      <c r="L3" s="314"/>
    </row>
    <row r="4" spans="1:24" ht="42.75">
      <c r="A4" s="433" t="s">
        <v>77</v>
      </c>
      <c r="B4" s="433"/>
      <c r="C4" s="14" t="s">
        <v>353</v>
      </c>
      <c r="D4" s="15" t="s">
        <v>79</v>
      </c>
      <c r="G4" s="433" t="s">
        <v>354</v>
      </c>
      <c r="H4" s="433"/>
      <c r="I4" s="433"/>
      <c r="J4" s="433"/>
      <c r="K4" s="433"/>
      <c r="L4" s="13" t="s">
        <v>355</v>
      </c>
    </row>
    <row r="5" spans="1:24" ht="15" customHeight="1">
      <c r="A5" s="16" t="s">
        <v>45</v>
      </c>
      <c r="B5" s="16" t="s">
        <v>80</v>
      </c>
      <c r="C5" s="17">
        <v>0.9</v>
      </c>
      <c r="D5" s="17">
        <f>+C5</f>
        <v>0.9</v>
      </c>
      <c r="G5" s="434" t="s">
        <v>356</v>
      </c>
      <c r="H5" s="434"/>
      <c r="I5" s="434"/>
      <c r="J5" s="434"/>
      <c r="K5" s="434"/>
      <c r="L5" s="17">
        <v>0.1</v>
      </c>
      <c r="M5" s="46">
        <f>+L5/1000</f>
        <v>1E-4</v>
      </c>
    </row>
    <row r="6" spans="1:24" ht="15">
      <c r="A6" s="16" t="s">
        <v>47</v>
      </c>
      <c r="B6" s="16" t="s">
        <v>81</v>
      </c>
      <c r="C6" s="17">
        <v>1</v>
      </c>
      <c r="D6" s="17">
        <v>1</v>
      </c>
      <c r="G6" s="434" t="s">
        <v>357</v>
      </c>
      <c r="H6" s="434"/>
      <c r="I6" s="434"/>
      <c r="J6" s="434"/>
      <c r="K6" s="434"/>
      <c r="L6" s="17">
        <v>2.4500000000000002</v>
      </c>
    </row>
    <row r="7" spans="1:24" ht="15">
      <c r="A7" s="16" t="s">
        <v>49</v>
      </c>
      <c r="B7" s="16" t="s">
        <v>82</v>
      </c>
      <c r="C7" s="17">
        <v>1.5</v>
      </c>
      <c r="D7" s="17">
        <v>1.5</v>
      </c>
      <c r="G7" s="434" t="s">
        <v>358</v>
      </c>
      <c r="H7" s="434"/>
      <c r="I7" s="434"/>
      <c r="J7" s="434"/>
      <c r="K7" s="434"/>
      <c r="L7" s="18">
        <v>1.03</v>
      </c>
    </row>
    <row r="8" spans="1:24">
      <c r="A8" s="16" t="s">
        <v>50</v>
      </c>
      <c r="B8" s="16" t="s">
        <v>81</v>
      </c>
      <c r="C8" s="18">
        <v>2E-3</v>
      </c>
      <c r="D8" s="18">
        <f>+C8</f>
        <v>2E-3</v>
      </c>
      <c r="G8" s="434" t="s">
        <v>359</v>
      </c>
      <c r="H8" s="434"/>
      <c r="I8" s="434"/>
      <c r="J8" s="434"/>
      <c r="K8" s="434"/>
      <c r="L8" s="18">
        <v>1.75</v>
      </c>
    </row>
    <row r="9" spans="1:24">
      <c r="A9" s="16" t="s">
        <v>51</v>
      </c>
      <c r="B9" s="16"/>
      <c r="C9" s="19">
        <v>1.6E-2</v>
      </c>
      <c r="D9" s="19">
        <f>+C9</f>
        <v>1.6E-2</v>
      </c>
      <c r="G9" s="434" t="s">
        <v>360</v>
      </c>
      <c r="H9" s="434"/>
      <c r="I9" s="434"/>
      <c r="J9" s="434"/>
      <c r="K9" s="434"/>
      <c r="L9" s="20">
        <v>20</v>
      </c>
    </row>
    <row r="10" spans="1:24" ht="15" thickBot="1">
      <c r="G10" s="434" t="s">
        <v>361</v>
      </c>
      <c r="H10" s="434"/>
      <c r="I10" s="434"/>
      <c r="J10" s="434"/>
      <c r="K10" s="434"/>
      <c r="L10" s="17">
        <v>0.2</v>
      </c>
    </row>
    <row r="11" spans="1:24" ht="18">
      <c r="A11" s="436" t="s">
        <v>318</v>
      </c>
      <c r="B11" s="437"/>
      <c r="C11" s="437"/>
      <c r="D11" s="437"/>
      <c r="E11" s="48"/>
      <c r="F11" s="43"/>
      <c r="G11" s="434" t="s">
        <v>362</v>
      </c>
      <c r="H11" s="434"/>
      <c r="I11" s="434"/>
      <c r="J11" s="434"/>
      <c r="K11" s="434"/>
      <c r="L11" s="17">
        <f>2/100</f>
        <v>0.02</v>
      </c>
    </row>
    <row r="12" spans="1:24" ht="42.75">
      <c r="A12" s="277" t="s">
        <v>90</v>
      </c>
      <c r="B12" s="278"/>
      <c r="C12" s="45" t="s">
        <v>78</v>
      </c>
      <c r="D12" s="45" t="s">
        <v>79</v>
      </c>
      <c r="E12" s="49"/>
    </row>
    <row r="13" spans="1:24">
      <c r="A13" s="50" t="s">
        <v>64</v>
      </c>
      <c r="B13" s="23" t="s">
        <v>82</v>
      </c>
      <c r="C13" s="29">
        <v>0.39296000000025216</v>
      </c>
      <c r="D13" s="29">
        <v>0.39296000000025216</v>
      </c>
      <c r="E13" s="49"/>
    </row>
    <row r="14" spans="1:24">
      <c r="A14" s="50" t="s">
        <v>58</v>
      </c>
      <c r="B14" s="23" t="s">
        <v>92</v>
      </c>
      <c r="C14" s="29">
        <v>1.2099090557921441</v>
      </c>
      <c r="D14" s="29">
        <v>1.2099090557921441</v>
      </c>
      <c r="E14" s="49"/>
    </row>
    <row r="15" spans="1:24">
      <c r="A15" s="50" t="s">
        <v>62</v>
      </c>
      <c r="B15" s="23" t="s">
        <v>93</v>
      </c>
      <c r="C15" s="29">
        <v>0.46757161688546306</v>
      </c>
      <c r="D15" s="29">
        <v>0.46757161688546306</v>
      </c>
      <c r="E15" s="49"/>
    </row>
    <row r="16" spans="1:24">
      <c r="A16" s="51" t="s">
        <v>63</v>
      </c>
      <c r="B16" s="52"/>
      <c r="C16" s="29">
        <v>0.67717956833995785</v>
      </c>
      <c r="D16" s="29">
        <v>0.67717956833995785</v>
      </c>
      <c r="E16" s="49"/>
    </row>
    <row r="17" spans="1:24">
      <c r="A17" s="51" t="s">
        <v>363</v>
      </c>
      <c r="B17" s="52" t="s">
        <v>82</v>
      </c>
      <c r="C17" s="29">
        <v>2.2859200000005044</v>
      </c>
      <c r="D17" s="29">
        <v>2.2859200000005044</v>
      </c>
      <c r="E17" s="49"/>
    </row>
    <row r="18" spans="1:24">
      <c r="A18" s="51" t="s">
        <v>364</v>
      </c>
      <c r="B18" s="52" t="s">
        <v>82</v>
      </c>
      <c r="C18" s="29">
        <v>0.13098535680008405</v>
      </c>
      <c r="D18" s="29">
        <v>0.13098535680008405</v>
      </c>
      <c r="E18" s="49"/>
    </row>
    <row r="19" spans="1:24">
      <c r="A19" s="51" t="s">
        <v>326</v>
      </c>
      <c r="B19" s="52" t="s">
        <v>82</v>
      </c>
      <c r="C19" s="29">
        <v>0.5</v>
      </c>
      <c r="D19" s="29">
        <v>0.5</v>
      </c>
      <c r="E19" s="49"/>
    </row>
    <row r="20" spans="1:24">
      <c r="A20" s="51" t="s">
        <v>328</v>
      </c>
      <c r="B20" s="52" t="s">
        <v>82</v>
      </c>
      <c r="C20" s="29">
        <f>+C7+2*C6*C13*1.333</f>
        <v>2.5476313600006719</v>
      </c>
      <c r="D20" s="29">
        <f>+D7+2*D6*D13*1.333</f>
        <v>2.5476313600006719</v>
      </c>
      <c r="E20" s="49"/>
    </row>
    <row r="21" spans="1:24">
      <c r="A21" s="53"/>
      <c r="E21" s="49"/>
    </row>
    <row r="22" spans="1:24" ht="15" thickBot="1">
      <c r="A22" s="54"/>
      <c r="B22" s="41"/>
      <c r="C22" s="41"/>
      <c r="D22" s="41"/>
      <c r="E22" s="55"/>
      <c r="F22" s="41"/>
      <c r="G22" s="41"/>
      <c r="H22" s="41"/>
      <c r="I22" s="41"/>
      <c r="J22" s="41"/>
      <c r="K22" s="41"/>
      <c r="L22" s="41"/>
      <c r="M22" s="41"/>
      <c r="N22" s="41"/>
      <c r="O22" s="41"/>
      <c r="P22" s="41"/>
      <c r="Q22" s="41"/>
      <c r="R22" s="41"/>
      <c r="S22" s="41"/>
      <c r="T22" s="41"/>
      <c r="U22" s="41"/>
      <c r="V22" s="41"/>
      <c r="W22" s="41"/>
      <c r="X22" s="41"/>
    </row>
    <row r="23" spans="1:24" ht="18">
      <c r="A23" s="440" t="s">
        <v>365</v>
      </c>
      <c r="B23" s="429"/>
      <c r="C23" s="429"/>
      <c r="D23" s="429"/>
      <c r="E23" s="429"/>
      <c r="F23" s="441"/>
    </row>
    <row r="24" spans="1:24" ht="15" thickBot="1">
      <c r="A24" s="295" t="s">
        <v>366</v>
      </c>
      <c r="B24" s="293"/>
      <c r="C24" s="29">
        <f>+IF(L5="","",IF(L5&gt;1,36,IF(L5&lt;0.1,51,44)))</f>
        <v>44</v>
      </c>
      <c r="F24" s="49"/>
    </row>
    <row r="25" spans="1:24" ht="15">
      <c r="A25" s="430" t="s">
        <v>367</v>
      </c>
      <c r="B25" s="431"/>
      <c r="C25" s="56">
        <f>IF(L5="","",C24*SQRT(L5))</f>
        <v>13.91402170474087</v>
      </c>
      <c r="F25" s="49"/>
      <c r="H25" s="57"/>
      <c r="I25" s="428" t="s">
        <v>368</v>
      </c>
      <c r="J25" s="428"/>
      <c r="K25" s="428"/>
      <c r="L25" s="428"/>
      <c r="M25" s="428"/>
      <c r="N25" s="428"/>
      <c r="O25" s="58"/>
      <c r="P25" s="57"/>
      <c r="Q25" s="428" t="s">
        <v>369</v>
      </c>
      <c r="R25" s="428"/>
      <c r="S25" s="428"/>
      <c r="T25" s="428"/>
      <c r="U25" s="428"/>
      <c r="V25" s="428"/>
      <c r="W25" s="58"/>
    </row>
    <row r="26" spans="1:24" ht="15.75" thickBot="1">
      <c r="A26" s="430" t="s">
        <v>370</v>
      </c>
      <c r="B26" s="431"/>
      <c r="C26" s="59">
        <f>+C25/100</f>
        <v>0.1391402170474087</v>
      </c>
      <c r="D26" s="41"/>
      <c r="E26" s="41"/>
      <c r="F26" s="55"/>
      <c r="H26" s="53"/>
      <c r="I26" s="28" t="s">
        <v>371</v>
      </c>
      <c r="J26" s="28" t="s">
        <v>372</v>
      </c>
      <c r="O26" s="49"/>
      <c r="P26" s="53"/>
      <c r="Q26" s="28" t="s">
        <v>371</v>
      </c>
      <c r="R26" s="28" t="s">
        <v>372</v>
      </c>
      <c r="W26" s="49"/>
    </row>
    <row r="27" spans="1:24" ht="18">
      <c r="A27" s="429" t="s">
        <v>373</v>
      </c>
      <c r="B27" s="429"/>
      <c r="C27" s="429"/>
      <c r="D27" s="429"/>
      <c r="E27" s="429"/>
      <c r="F27" s="429"/>
      <c r="H27" s="53"/>
      <c r="I27" s="28">
        <v>0.17799999999999999</v>
      </c>
      <c r="J27" s="28">
        <v>0.05</v>
      </c>
      <c r="O27" s="49"/>
      <c r="P27" s="53"/>
      <c r="Q27" s="28">
        <f>10.18*R27-0.06</f>
        <v>-0.06</v>
      </c>
      <c r="R27" s="28">
        <v>0</v>
      </c>
      <c r="W27" s="49"/>
    </row>
    <row r="28" spans="1:24" ht="15">
      <c r="A28" s="257" t="s">
        <v>374</v>
      </c>
      <c r="B28" s="258"/>
      <c r="C28" s="258"/>
      <c r="D28" s="259"/>
      <c r="E28" s="28" t="s">
        <v>371</v>
      </c>
      <c r="H28" s="53"/>
      <c r="I28" s="28">
        <v>0.69199999999999995</v>
      </c>
      <c r="J28" s="28">
        <v>0.1</v>
      </c>
      <c r="O28" s="49"/>
      <c r="P28" s="53"/>
      <c r="Q28" s="28">
        <f t="shared" ref="Q28:Q44" si="0">10.18*R28-0.06</f>
        <v>0.95799999999999996</v>
      </c>
      <c r="R28" s="28">
        <v>0.1</v>
      </c>
      <c r="W28" s="49"/>
    </row>
    <row r="29" spans="1:24">
      <c r="A29" s="287" t="s">
        <v>375</v>
      </c>
      <c r="B29" s="288"/>
      <c r="C29" s="288"/>
      <c r="D29" s="261"/>
      <c r="E29" s="29">
        <f>IF(L5="","",+-0.9114*L5^2+9.3405*L5+0.5805)</f>
        <v>1.505436</v>
      </c>
      <c r="H29" s="53"/>
      <c r="I29" s="28">
        <v>1.56</v>
      </c>
      <c r="J29" s="28">
        <v>0.15</v>
      </c>
      <c r="O29" s="49"/>
      <c r="P29" s="53"/>
      <c r="Q29" s="28">
        <f t="shared" si="0"/>
        <v>1.976</v>
      </c>
      <c r="R29" s="28">
        <v>0.2</v>
      </c>
      <c r="W29" s="49"/>
    </row>
    <row r="30" spans="1:24">
      <c r="A30" s="287" t="s">
        <v>376</v>
      </c>
      <c r="B30" s="288"/>
      <c r="C30" s="288"/>
      <c r="D30" s="261"/>
      <c r="E30" s="29">
        <f>10.18*L5-0.06</f>
        <v>0.95799999999999996</v>
      </c>
      <c r="H30" s="53"/>
      <c r="I30" s="28">
        <v>2.16</v>
      </c>
      <c r="J30" s="28">
        <v>0.2</v>
      </c>
      <c r="O30" s="49"/>
      <c r="P30" s="53"/>
      <c r="Q30" s="28">
        <f t="shared" si="0"/>
        <v>2.9939999999999998</v>
      </c>
      <c r="R30" s="28">
        <v>0.3</v>
      </c>
      <c r="W30" s="49"/>
    </row>
    <row r="31" spans="1:24">
      <c r="A31" s="287" t="s">
        <v>377</v>
      </c>
      <c r="B31" s="288"/>
      <c r="C31" s="288"/>
      <c r="D31" s="261"/>
      <c r="E31" s="25">
        <f>+(9.35*(L5/1000*(L6-1))^0.5)/100</f>
        <v>1.1258890931170797E-3</v>
      </c>
      <c r="F31" s="60"/>
      <c r="G31" s="61"/>
      <c r="H31" s="53"/>
      <c r="I31" s="28">
        <v>2.7</v>
      </c>
      <c r="J31" s="28">
        <v>0.25</v>
      </c>
      <c r="O31" s="49"/>
      <c r="P31" s="53"/>
      <c r="Q31" s="28">
        <f t="shared" si="0"/>
        <v>4.0120000000000005</v>
      </c>
      <c r="R31" s="28">
        <v>0.4</v>
      </c>
      <c r="W31" s="49"/>
    </row>
    <row r="32" spans="1:24">
      <c r="A32" s="287" t="s">
        <v>378</v>
      </c>
      <c r="B32" s="288"/>
      <c r="C32" s="288"/>
      <c r="D32" s="261"/>
      <c r="E32" s="29">
        <f>(3.8*SQRT(L5/1000)+8.3*L5/1000)*100</f>
        <v>3.8829999999999996</v>
      </c>
      <c r="H32" s="53"/>
      <c r="I32" s="28">
        <v>3.24</v>
      </c>
      <c r="J32" s="28">
        <v>0.3</v>
      </c>
      <c r="O32" s="49"/>
      <c r="P32" s="53"/>
      <c r="Q32" s="28">
        <f t="shared" si="0"/>
        <v>5.03</v>
      </c>
      <c r="R32" s="28">
        <v>0.5</v>
      </c>
      <c r="W32" s="49"/>
    </row>
    <row r="33" spans="1:24" ht="15">
      <c r="A33" s="257" t="s">
        <v>379</v>
      </c>
      <c r="B33" s="258"/>
      <c r="C33" s="258"/>
      <c r="D33" s="259"/>
      <c r="E33" s="56">
        <f>+AVERAGE(E29:E32)</f>
        <v>1.5868904722732791</v>
      </c>
      <c r="H33" s="53"/>
      <c r="I33" s="28">
        <v>3.78</v>
      </c>
      <c r="J33" s="28">
        <v>0.35</v>
      </c>
      <c r="O33" s="49"/>
      <c r="P33" s="53"/>
      <c r="Q33" s="28">
        <f t="shared" si="0"/>
        <v>6.048</v>
      </c>
      <c r="R33" s="28">
        <v>0.6</v>
      </c>
      <c r="W33" s="49"/>
    </row>
    <row r="34" spans="1:24" ht="15">
      <c r="A34" s="257" t="s">
        <v>380</v>
      </c>
      <c r="B34" s="258"/>
      <c r="C34" s="258"/>
      <c r="D34" s="259"/>
      <c r="E34" s="62">
        <f>+E33/100</f>
        <v>1.586890472273279E-2</v>
      </c>
      <c r="H34" s="53"/>
      <c r="I34" s="28">
        <v>4.32</v>
      </c>
      <c r="J34" s="28">
        <v>0.4</v>
      </c>
      <c r="O34" s="49"/>
      <c r="P34" s="53"/>
      <c r="Q34" s="28">
        <f t="shared" si="0"/>
        <v>7.0659999999999998</v>
      </c>
      <c r="R34" s="28">
        <v>0.7</v>
      </c>
      <c r="W34" s="49"/>
    </row>
    <row r="35" spans="1:24">
      <c r="H35" s="53"/>
      <c r="I35" s="28">
        <v>4.8600000000000003</v>
      </c>
      <c r="J35" s="28">
        <v>0.45</v>
      </c>
      <c r="O35" s="49"/>
      <c r="P35" s="53"/>
      <c r="Q35" s="28">
        <f t="shared" si="0"/>
        <v>8.0839999999999996</v>
      </c>
      <c r="R35" s="28">
        <v>0.8</v>
      </c>
      <c r="W35" s="49"/>
    </row>
    <row r="36" spans="1:24">
      <c r="H36" s="53"/>
      <c r="I36" s="28">
        <v>5.4</v>
      </c>
      <c r="J36" s="28">
        <v>0.5</v>
      </c>
      <c r="O36" s="49"/>
      <c r="P36" s="53"/>
      <c r="Q36" s="28">
        <f t="shared" si="0"/>
        <v>9.1020000000000003</v>
      </c>
      <c r="R36" s="28">
        <v>0.9</v>
      </c>
      <c r="W36" s="49"/>
    </row>
    <row r="37" spans="1:24">
      <c r="H37" s="53"/>
      <c r="I37" s="28">
        <v>5.94</v>
      </c>
      <c r="J37" s="28">
        <v>0.55000000000000004</v>
      </c>
      <c r="O37" s="49"/>
      <c r="P37" s="53"/>
      <c r="Q37" s="28">
        <f t="shared" si="0"/>
        <v>10.119999999999999</v>
      </c>
      <c r="R37" s="28">
        <v>1</v>
      </c>
      <c r="W37" s="49"/>
    </row>
    <row r="38" spans="1:24">
      <c r="H38" s="53"/>
      <c r="I38" s="28">
        <v>6.48</v>
      </c>
      <c r="J38" s="28">
        <v>0.6</v>
      </c>
      <c r="O38" s="49"/>
      <c r="P38" s="53"/>
      <c r="Q38" s="28">
        <f t="shared" si="0"/>
        <v>11.138</v>
      </c>
      <c r="R38" s="28">
        <v>1.1000000000000001</v>
      </c>
      <c r="W38" s="49"/>
    </row>
    <row r="39" spans="1:24">
      <c r="H39" s="53"/>
      <c r="I39" s="28">
        <v>7.32</v>
      </c>
      <c r="J39" s="28">
        <v>0.7</v>
      </c>
      <c r="O39" s="49"/>
      <c r="P39" s="53"/>
      <c r="Q39" s="28">
        <f t="shared" si="0"/>
        <v>12.155999999999999</v>
      </c>
      <c r="R39" s="28">
        <v>1.2</v>
      </c>
      <c r="W39" s="49"/>
    </row>
    <row r="40" spans="1:24">
      <c r="H40" s="53"/>
      <c r="I40" s="28">
        <v>8.07</v>
      </c>
      <c r="J40" s="28">
        <v>0.8</v>
      </c>
      <c r="O40" s="49"/>
      <c r="P40" s="53"/>
      <c r="Q40" s="28">
        <f t="shared" si="0"/>
        <v>13.173999999999999</v>
      </c>
      <c r="R40" s="28">
        <v>1.3</v>
      </c>
      <c r="W40" s="49"/>
    </row>
    <row r="41" spans="1:24">
      <c r="H41" s="53"/>
      <c r="I41" s="28">
        <v>9.44</v>
      </c>
      <c r="J41" s="28">
        <v>1</v>
      </c>
      <c r="O41" s="49"/>
      <c r="P41" s="53"/>
      <c r="Q41" s="28">
        <f t="shared" si="0"/>
        <v>14.191999999999998</v>
      </c>
      <c r="R41" s="28">
        <v>1.4</v>
      </c>
      <c r="W41" s="49"/>
    </row>
    <row r="42" spans="1:24">
      <c r="H42" s="53"/>
      <c r="I42" s="28">
        <v>15.29</v>
      </c>
      <c r="J42" s="28">
        <v>2</v>
      </c>
      <c r="O42" s="49"/>
      <c r="P42" s="53"/>
      <c r="Q42" s="28">
        <f t="shared" si="0"/>
        <v>15.209999999999999</v>
      </c>
      <c r="R42" s="28">
        <v>1.5</v>
      </c>
      <c r="W42" s="49"/>
    </row>
    <row r="43" spans="1:24">
      <c r="H43" s="53"/>
      <c r="I43" s="28">
        <v>19.25</v>
      </c>
      <c r="J43" s="28">
        <v>3</v>
      </c>
      <c r="O43" s="49"/>
      <c r="P43" s="53"/>
      <c r="Q43" s="28">
        <f t="shared" si="0"/>
        <v>16.228000000000002</v>
      </c>
      <c r="R43" s="28">
        <v>1.6</v>
      </c>
      <c r="W43" s="49"/>
    </row>
    <row r="44" spans="1:24">
      <c r="H44" s="53"/>
      <c r="I44" s="28">
        <v>24.9</v>
      </c>
      <c r="J44" s="28">
        <v>5</v>
      </c>
      <c r="O44" s="49"/>
      <c r="P44" s="53"/>
      <c r="Q44" s="28">
        <f t="shared" si="0"/>
        <v>17.245999999999999</v>
      </c>
      <c r="R44" s="28">
        <v>1.7</v>
      </c>
      <c r="W44" s="49"/>
    </row>
    <row r="45" spans="1:24" ht="15" thickBot="1">
      <c r="H45" s="54"/>
      <c r="I45" s="41"/>
      <c r="J45" s="41"/>
      <c r="K45" s="41"/>
      <c r="L45" s="41"/>
      <c r="M45" s="41"/>
      <c r="N45" s="41"/>
      <c r="O45" s="55"/>
      <c r="P45" s="54"/>
      <c r="Q45" s="41"/>
      <c r="R45" s="41"/>
      <c r="S45" s="41"/>
      <c r="T45" s="41"/>
      <c r="U45" s="41"/>
      <c r="V45" s="41"/>
      <c r="W45" s="55"/>
    </row>
    <row r="46" spans="1:24" ht="15" thickBot="1">
      <c r="A46" s="41"/>
      <c r="B46" s="41"/>
      <c r="C46" s="41"/>
      <c r="D46" s="41"/>
      <c r="E46" s="41"/>
      <c r="F46" s="41"/>
      <c r="G46" s="41"/>
      <c r="H46" s="41"/>
      <c r="I46" s="41"/>
      <c r="J46" s="41"/>
      <c r="K46" s="41"/>
      <c r="L46" s="41"/>
      <c r="M46" s="41"/>
      <c r="N46" s="41"/>
      <c r="O46" s="41"/>
      <c r="P46" s="41"/>
      <c r="Q46" s="41"/>
      <c r="R46" s="41"/>
      <c r="S46" s="41"/>
      <c r="T46" s="41"/>
      <c r="U46" s="41"/>
      <c r="V46" s="41"/>
      <c r="W46" s="41"/>
      <c r="X46" s="41"/>
    </row>
    <row r="47" spans="1:24" ht="18">
      <c r="A47" s="429" t="s">
        <v>381</v>
      </c>
      <c r="B47" s="429"/>
      <c r="C47" s="429"/>
      <c r="D47" s="429"/>
      <c r="E47" s="429"/>
      <c r="F47" s="429"/>
    </row>
    <row r="49" spans="1:24">
      <c r="A49" s="424" t="s">
        <v>382</v>
      </c>
      <c r="B49" s="424"/>
      <c r="C49" s="424"/>
      <c r="D49" s="63"/>
      <c r="E49" s="424" t="s">
        <v>383</v>
      </c>
      <c r="F49" s="424"/>
      <c r="G49" s="424"/>
    </row>
    <row r="50" spans="1:24">
      <c r="A50" s="302" t="s">
        <v>384</v>
      </c>
      <c r="B50" s="302"/>
      <c r="C50" s="29">
        <f>ROUNDUP(C5/(L8*C25/100),1)</f>
        <v>3.7</v>
      </c>
      <c r="E50" s="302" t="s">
        <v>384</v>
      </c>
      <c r="F50" s="302"/>
      <c r="G50" s="29">
        <f>+C50</f>
        <v>3.7</v>
      </c>
    </row>
    <row r="51" spans="1:24">
      <c r="A51" s="302" t="s">
        <v>385</v>
      </c>
      <c r="B51" s="302"/>
      <c r="C51" s="29">
        <f>ROUNDUP(+L8*C26/E34,1)</f>
        <v>15.4</v>
      </c>
      <c r="E51" s="302" t="s">
        <v>385</v>
      </c>
      <c r="F51" s="302"/>
      <c r="G51" s="29">
        <f>ROUNDUP(L8*C26/(E34-G56),1)</f>
        <v>137.4</v>
      </c>
    </row>
    <row r="52" spans="1:24">
      <c r="I52" s="64"/>
    </row>
    <row r="53" spans="1:24" ht="15">
      <c r="A53" s="63" t="s">
        <v>386</v>
      </c>
      <c r="B53" s="63"/>
      <c r="C53" s="63"/>
      <c r="E53" s="316" t="s">
        <v>374</v>
      </c>
      <c r="F53" s="316"/>
      <c r="G53" s="65" t="s">
        <v>387</v>
      </c>
      <c r="I53" s="64"/>
    </row>
    <row r="54" spans="1:24">
      <c r="A54" s="23" t="s">
        <v>388</v>
      </c>
      <c r="B54" s="23"/>
      <c r="C54" s="66">
        <f>+L8/E34</f>
        <v>110.27856241981594</v>
      </c>
      <c r="E54" s="302" t="s">
        <v>389</v>
      </c>
      <c r="F54" s="302"/>
      <c r="G54" s="25">
        <f>+(C26)/(5.7+2.3*L8)</f>
        <v>1.4307477331353079E-2</v>
      </c>
    </row>
    <row r="55" spans="1:24">
      <c r="A55" s="260" t="s">
        <v>390</v>
      </c>
      <c r="B55" s="261"/>
      <c r="C55" s="66">
        <f>+C54*C5</f>
        <v>99.250706177834346</v>
      </c>
      <c r="E55" s="302" t="s">
        <v>391</v>
      </c>
      <c r="F55" s="302"/>
      <c r="G55" s="25">
        <f>(0.132/L8^0.5)*C26</f>
        <v>1.3883775526028317E-2</v>
      </c>
    </row>
    <row r="56" spans="1:24">
      <c r="A56" s="260" t="s">
        <v>392</v>
      </c>
      <c r="B56" s="261"/>
      <c r="C56" s="66">
        <f>+C50*C51*L8</f>
        <v>99.715000000000003</v>
      </c>
      <c r="E56" s="306" t="s">
        <v>393</v>
      </c>
      <c r="F56" s="306"/>
      <c r="G56" s="68">
        <f>+AVERAGE(G54:G55)</f>
        <v>1.4095626428690698E-2</v>
      </c>
    </row>
    <row r="57" spans="1:24" ht="15">
      <c r="A57" s="432" t="s">
        <v>394</v>
      </c>
      <c r="B57" s="259"/>
      <c r="C57" s="65" t="str">
        <f>+IF(C56&gt;=C55,"SI","NO")</f>
        <v>SI</v>
      </c>
    </row>
    <row r="58" spans="1:24" ht="15" thickBot="1">
      <c r="A58" s="41"/>
      <c r="B58" s="41"/>
      <c r="C58" s="41"/>
      <c r="D58" s="69"/>
      <c r="E58" s="69"/>
      <c r="F58" s="69"/>
      <c r="G58" s="69"/>
      <c r="H58" s="41"/>
      <c r="I58" s="41"/>
      <c r="J58" s="41"/>
      <c r="K58" s="41"/>
      <c r="L58" s="41"/>
      <c r="M58" s="41"/>
      <c r="N58" s="41"/>
      <c r="O58" s="41"/>
      <c r="P58" s="41"/>
      <c r="Q58" s="41"/>
      <c r="R58" s="41"/>
      <c r="S58" s="41"/>
      <c r="T58" s="41"/>
      <c r="U58" s="41"/>
      <c r="V58" s="41"/>
      <c r="W58" s="41"/>
      <c r="X58" s="41"/>
    </row>
    <row r="59" spans="1:24" ht="18">
      <c r="A59" s="425" t="s">
        <v>395</v>
      </c>
      <c r="B59" s="425"/>
      <c r="C59" s="425"/>
      <c r="D59" s="425"/>
      <c r="E59" s="425"/>
      <c r="F59" s="425"/>
    </row>
    <row r="60" spans="1:24">
      <c r="A60" s="302" t="s">
        <v>396</v>
      </c>
      <c r="B60" s="302"/>
      <c r="C60" s="23">
        <f>+ROUNDUP(((C50+0.15+ROUNDUP(F61,1))-C17)/(2*TAN(22.5*PI()/180)),1)</f>
        <v>4.3999999999999995</v>
      </c>
      <c r="E60" s="426" t="s">
        <v>397</v>
      </c>
      <c r="F60" s="426"/>
      <c r="G60" s="426"/>
    </row>
    <row r="61" spans="1:24">
      <c r="E61" s="67" t="s">
        <v>133</v>
      </c>
      <c r="F61" s="35">
        <v>1.919999999999805</v>
      </c>
      <c r="G61" s="36" t="s">
        <v>44</v>
      </c>
    </row>
    <row r="62" spans="1:24">
      <c r="A62" s="260" t="s">
        <v>398</v>
      </c>
      <c r="B62" s="261"/>
      <c r="C62" s="29">
        <f>+C50+0.15+ROUNDUP(F61,1)</f>
        <v>5.85</v>
      </c>
      <c r="E62" s="28" t="s">
        <v>287</v>
      </c>
      <c r="F62" s="35">
        <f>+C13</f>
        <v>0.39296000000025216</v>
      </c>
      <c r="G62" s="36" t="s">
        <v>44</v>
      </c>
    </row>
    <row r="63" spans="1:24">
      <c r="E63" s="28" t="s">
        <v>399</v>
      </c>
      <c r="F63" s="35">
        <f>+C8</f>
        <v>2E-3</v>
      </c>
      <c r="G63" s="36" t="s">
        <v>48</v>
      </c>
    </row>
    <row r="64" spans="1:24">
      <c r="E64" s="28" t="s">
        <v>150</v>
      </c>
      <c r="F64" s="35">
        <f>+F61*F62</f>
        <v>0.75448320000040747</v>
      </c>
      <c r="G64" s="36" t="s">
        <v>54</v>
      </c>
    </row>
    <row r="65" spans="1:23">
      <c r="E65" s="28" t="s">
        <v>223</v>
      </c>
      <c r="F65" s="35">
        <f>+F61+2*F62</f>
        <v>2.7059200000003094</v>
      </c>
      <c r="G65" s="36" t="s">
        <v>44</v>
      </c>
    </row>
    <row r="66" spans="1:23" ht="15" thickBot="1">
      <c r="A66" s="41"/>
      <c r="B66" s="41"/>
      <c r="C66" s="41"/>
      <c r="D66" s="69"/>
      <c r="E66" s="69"/>
      <c r="F66" s="69"/>
      <c r="G66" s="69"/>
      <c r="H66" s="41"/>
      <c r="I66" s="41"/>
      <c r="J66" s="41"/>
      <c r="K66" s="41"/>
      <c r="L66" s="41"/>
      <c r="M66" s="41"/>
      <c r="N66" s="41"/>
      <c r="O66" s="41"/>
      <c r="P66" s="41"/>
      <c r="Q66" s="41"/>
      <c r="R66" s="41"/>
      <c r="S66" s="41"/>
      <c r="T66" s="41"/>
      <c r="U66" s="41"/>
      <c r="V66" s="41"/>
      <c r="W66" s="41"/>
    </row>
    <row r="67" spans="1:23" ht="18">
      <c r="A67" s="425" t="s">
        <v>400</v>
      </c>
      <c r="B67" s="425"/>
      <c r="C67" s="425"/>
      <c r="D67" s="425"/>
      <c r="E67" s="425"/>
      <c r="F67" s="425"/>
    </row>
    <row r="68" spans="1:23">
      <c r="H68" s="70"/>
    </row>
    <row r="69" spans="1:23">
      <c r="A69" s="260" t="s">
        <v>401</v>
      </c>
      <c r="B69" s="261"/>
      <c r="C69" s="23">
        <v>1.84</v>
      </c>
      <c r="H69" s="70"/>
    </row>
    <row r="70" spans="1:23">
      <c r="A70" s="260" t="s">
        <v>402</v>
      </c>
      <c r="B70" s="261"/>
      <c r="C70" s="29">
        <f>ROUNDUP(C5/(C69*0.25^(3/2)),1)</f>
        <v>4</v>
      </c>
    </row>
    <row r="71" spans="1:23">
      <c r="A71" s="260" t="s">
        <v>403</v>
      </c>
      <c r="B71" s="288"/>
      <c r="C71" s="71">
        <f>180*C70/(PI()*C50)</f>
        <v>61.941383257386292</v>
      </c>
    </row>
    <row r="72" spans="1:23">
      <c r="A72" s="260" t="s">
        <v>404</v>
      </c>
      <c r="B72" s="261"/>
      <c r="C72" s="29">
        <v>334.9099999989923</v>
      </c>
      <c r="D72" s="29">
        <v>5.8452821978370064</v>
      </c>
    </row>
    <row r="73" spans="1:23">
      <c r="A73" s="260" t="s">
        <v>405</v>
      </c>
      <c r="B73" s="261"/>
      <c r="C73" s="29">
        <f>IF(C72="","",180*C70/(PI()*D72))</f>
        <v>39.208221313444277</v>
      </c>
    </row>
    <row r="74" spans="1:23">
      <c r="A74" s="260" t="s">
        <v>406</v>
      </c>
      <c r="B74" s="261"/>
      <c r="C74" s="29">
        <f>+C73*ABS(SIN(D72))</f>
        <v>16.625907674364662</v>
      </c>
    </row>
    <row r="76" spans="1:23" ht="15" thickBot="1">
      <c r="A76" s="41"/>
      <c r="B76" s="41"/>
      <c r="C76" s="41"/>
      <c r="D76" s="69"/>
      <c r="E76" s="69"/>
      <c r="F76" s="69"/>
      <c r="G76" s="69"/>
      <c r="H76" s="41"/>
      <c r="I76" s="41"/>
      <c r="J76" s="41"/>
      <c r="K76" s="41"/>
      <c r="L76" s="41"/>
      <c r="M76" s="41"/>
      <c r="N76" s="41"/>
      <c r="O76" s="41"/>
      <c r="P76" s="41"/>
      <c r="Q76" s="41"/>
      <c r="R76" s="41"/>
      <c r="S76" s="41"/>
      <c r="T76" s="41"/>
      <c r="U76" s="41"/>
      <c r="V76" s="41"/>
      <c r="W76" s="41"/>
    </row>
    <row r="77" spans="1:23" ht="18">
      <c r="A77" s="425"/>
      <c r="B77" s="425"/>
      <c r="C77" s="425"/>
      <c r="D77" s="425"/>
      <c r="E77" s="425"/>
      <c r="F77" s="425"/>
    </row>
    <row r="79" spans="1:23">
      <c r="B79" s="60"/>
      <c r="C79" s="60"/>
      <c r="D79" s="60"/>
    </row>
    <row r="80" spans="1:23">
      <c r="A80" s="427"/>
      <c r="B80" s="72"/>
      <c r="C80" s="27"/>
      <c r="D80" s="72"/>
    </row>
    <row r="81" spans="1:4">
      <c r="A81" s="427"/>
      <c r="C81" s="27"/>
    </row>
    <row r="82" spans="1:4">
      <c r="A82" s="427"/>
      <c r="C82" s="27"/>
    </row>
    <row r="83" spans="1:4">
      <c r="A83" s="427"/>
      <c r="B83" s="72"/>
      <c r="C83" s="27"/>
      <c r="D83" s="72"/>
    </row>
    <row r="84" spans="1:4">
      <c r="A84" s="427"/>
      <c r="B84" s="72"/>
      <c r="C84" s="27"/>
    </row>
    <row r="85" spans="1:4">
      <c r="A85" s="427"/>
      <c r="C85" s="27"/>
    </row>
    <row r="86" spans="1:4">
      <c r="A86" s="427"/>
      <c r="C86" s="27"/>
    </row>
    <row r="87" spans="1:4">
      <c r="A87" s="427"/>
      <c r="B87" s="72"/>
      <c r="C87" s="27"/>
    </row>
    <row r="88" spans="1:4">
      <c r="A88" s="423"/>
      <c r="B88" s="72"/>
      <c r="C88" s="27"/>
      <c r="D88" s="72"/>
    </row>
    <row r="89" spans="1:4">
      <c r="A89" s="423"/>
      <c r="B89" s="72"/>
      <c r="C89" s="27"/>
      <c r="D89" s="72"/>
    </row>
    <row r="90" spans="1:4">
      <c r="A90" s="423"/>
      <c r="B90" s="72"/>
      <c r="C90" s="27"/>
      <c r="D90" s="72"/>
    </row>
    <row r="91" spans="1:4">
      <c r="A91" s="423"/>
      <c r="B91" s="72"/>
      <c r="C91" s="27"/>
      <c r="D91" s="72"/>
    </row>
    <row r="92" spans="1:4">
      <c r="A92" s="423"/>
      <c r="B92" s="72"/>
      <c r="C92" s="27"/>
      <c r="D92" s="72"/>
    </row>
    <row r="93" spans="1:4">
      <c r="A93" s="423"/>
      <c r="B93" s="72"/>
      <c r="C93" s="27"/>
      <c r="D93" s="72"/>
    </row>
    <row r="94" spans="1:4">
      <c r="A94" s="423"/>
      <c r="B94" s="72"/>
      <c r="C94" s="27"/>
      <c r="D94" s="72"/>
    </row>
    <row r="95" spans="1:4">
      <c r="A95" s="423"/>
      <c r="B95" s="72"/>
      <c r="C95" s="27"/>
      <c r="D95" s="72"/>
    </row>
    <row r="96" spans="1:4">
      <c r="A96" s="423"/>
      <c r="B96" s="72"/>
      <c r="C96" s="27"/>
      <c r="D96" s="72"/>
    </row>
    <row r="97" spans="1:12">
      <c r="A97" s="423"/>
      <c r="B97" s="72"/>
      <c r="C97" s="27"/>
      <c r="D97" s="72"/>
    </row>
    <row r="98" spans="1:12">
      <c r="A98" s="423"/>
      <c r="B98" s="72"/>
      <c r="C98" s="27"/>
      <c r="D98" s="72"/>
    </row>
    <row r="99" spans="1:12">
      <c r="A99" s="423"/>
      <c r="B99" s="72"/>
      <c r="C99" s="72"/>
      <c r="D99" s="72"/>
    </row>
    <row r="100" spans="1:12">
      <c r="A100" s="423"/>
      <c r="B100" s="72"/>
      <c r="C100" s="27"/>
      <c r="D100" s="72"/>
    </row>
    <row r="101" spans="1:12">
      <c r="A101" s="423"/>
      <c r="B101" s="72"/>
      <c r="C101" s="27"/>
      <c r="D101" s="72"/>
    </row>
    <row r="102" spans="1:12">
      <c r="A102" s="423"/>
      <c r="B102" s="72"/>
      <c r="C102" s="72"/>
      <c r="D102" s="72"/>
    </row>
    <row r="103" spans="1:12">
      <c r="A103" s="423"/>
      <c r="B103" s="72"/>
      <c r="C103" s="72"/>
      <c r="D103" s="72"/>
      <c r="K103" s="72"/>
      <c r="L103" s="27"/>
    </row>
    <row r="104" spans="1:12">
      <c r="A104" s="427"/>
      <c r="B104" s="72"/>
      <c r="C104" s="72"/>
      <c r="D104" s="72"/>
      <c r="F104" s="46"/>
      <c r="G104" s="46"/>
      <c r="H104" s="46"/>
      <c r="I104" s="46"/>
      <c r="J104" s="46"/>
      <c r="K104" s="72"/>
      <c r="L104" s="27"/>
    </row>
    <row r="105" spans="1:12">
      <c r="A105" s="427"/>
      <c r="B105" s="72"/>
      <c r="C105" s="72"/>
      <c r="D105" s="72"/>
      <c r="F105" s="46"/>
      <c r="G105" s="46"/>
      <c r="H105" s="73"/>
      <c r="I105" s="46"/>
      <c r="J105" s="46"/>
      <c r="K105" s="72"/>
      <c r="L105" s="27"/>
    </row>
    <row r="106" spans="1:12">
      <c r="A106" s="427"/>
      <c r="B106" s="72"/>
      <c r="C106" s="72"/>
      <c r="D106" s="72"/>
      <c r="F106" s="46"/>
      <c r="G106" s="46"/>
      <c r="H106" s="46"/>
      <c r="I106" s="46"/>
      <c r="J106" s="46"/>
      <c r="K106" s="72"/>
      <c r="L106" s="27"/>
    </row>
    <row r="107" spans="1:12">
      <c r="A107" s="427"/>
      <c r="B107" s="72"/>
      <c r="C107" s="72"/>
      <c r="D107" s="72"/>
      <c r="F107" s="46"/>
      <c r="G107" s="46"/>
      <c r="H107" s="74"/>
      <c r="I107" s="75"/>
      <c r="J107" s="46"/>
      <c r="K107" s="72"/>
      <c r="L107" s="27"/>
    </row>
    <row r="108" spans="1:12">
      <c r="A108" s="427"/>
      <c r="B108" s="72"/>
      <c r="C108" s="72"/>
      <c r="D108" s="72"/>
      <c r="F108" s="46"/>
      <c r="G108" s="46"/>
      <c r="H108" s="74"/>
      <c r="I108" s="73"/>
      <c r="J108" s="46"/>
      <c r="K108" s="72"/>
      <c r="L108" s="27"/>
    </row>
    <row r="109" spans="1:12">
      <c r="A109" s="427"/>
      <c r="B109" s="72"/>
      <c r="C109" s="72"/>
      <c r="D109" s="72"/>
      <c r="F109" s="46"/>
      <c r="G109" s="46"/>
      <c r="H109" s="74"/>
      <c r="I109" s="73"/>
      <c r="J109" s="46"/>
      <c r="K109" s="72"/>
      <c r="L109" s="27"/>
    </row>
    <row r="110" spans="1:12">
      <c r="A110" s="427"/>
      <c r="B110" s="72"/>
      <c r="C110" s="72"/>
      <c r="D110" s="72"/>
      <c r="F110" s="46"/>
      <c r="G110" s="46"/>
      <c r="H110" s="46"/>
      <c r="I110" s="46"/>
      <c r="J110" s="46"/>
      <c r="K110" s="72"/>
      <c r="L110" s="27"/>
    </row>
    <row r="111" spans="1:12">
      <c r="A111" s="427"/>
      <c r="B111" s="72"/>
      <c r="C111" s="72"/>
      <c r="D111" s="72"/>
      <c r="F111" s="46"/>
      <c r="G111" s="46"/>
      <c r="H111" s="46"/>
      <c r="I111" s="46"/>
      <c r="J111" s="46"/>
      <c r="K111" s="72"/>
      <c r="L111" s="27"/>
    </row>
    <row r="112" spans="1:12">
      <c r="A112" s="427"/>
      <c r="B112" s="72"/>
      <c r="C112" s="72"/>
      <c r="D112" s="72"/>
      <c r="F112" s="46"/>
      <c r="G112" s="46"/>
      <c r="H112" s="46"/>
      <c r="I112" s="46"/>
      <c r="J112" s="46"/>
    </row>
    <row r="113" spans="1:10">
      <c r="A113" s="427"/>
      <c r="B113" s="72"/>
      <c r="C113" s="27"/>
      <c r="D113" s="72"/>
      <c r="F113" s="46"/>
      <c r="G113" s="46"/>
      <c r="H113" s="46"/>
      <c r="I113" s="46"/>
      <c r="J113" s="46"/>
    </row>
    <row r="114" spans="1:10">
      <c r="A114" s="427"/>
      <c r="B114" s="72"/>
      <c r="C114" s="27"/>
      <c r="D114" s="72"/>
      <c r="F114" s="46"/>
      <c r="G114" s="46"/>
      <c r="H114" s="46"/>
      <c r="I114" s="46"/>
      <c r="J114" s="46"/>
    </row>
    <row r="115" spans="1:10">
      <c r="A115" s="427"/>
      <c r="B115" s="72"/>
      <c r="C115" s="27"/>
      <c r="D115" s="72"/>
      <c r="F115" s="46"/>
      <c r="G115" s="46"/>
      <c r="H115" s="46"/>
      <c r="I115" s="46"/>
      <c r="J115" s="46"/>
    </row>
    <row r="116" spans="1:10">
      <c r="A116" s="427"/>
      <c r="B116" s="72"/>
      <c r="C116" s="27"/>
      <c r="D116" s="72"/>
      <c r="E116" s="76"/>
      <c r="F116" s="46"/>
      <c r="G116" s="46"/>
      <c r="H116" s="46"/>
      <c r="I116" s="46"/>
      <c r="J116" s="46"/>
    </row>
    <row r="117" spans="1:10">
      <c r="A117" s="427"/>
      <c r="B117" s="72"/>
      <c r="C117" s="27"/>
      <c r="D117" s="72"/>
      <c r="E117" s="27"/>
      <c r="F117" s="46"/>
      <c r="G117" s="46"/>
      <c r="H117" s="46"/>
      <c r="I117" s="46"/>
      <c r="J117" s="46"/>
    </row>
    <row r="118" spans="1:10">
      <c r="A118" s="427"/>
      <c r="B118" s="72"/>
      <c r="C118" s="27"/>
      <c r="D118" s="72"/>
      <c r="F118" s="46"/>
      <c r="G118" s="46"/>
      <c r="H118" s="46"/>
      <c r="I118" s="46"/>
      <c r="J118" s="46"/>
    </row>
    <row r="119" spans="1:10">
      <c r="A119" s="427"/>
      <c r="B119" s="72"/>
      <c r="C119" s="27"/>
      <c r="D119" s="72"/>
      <c r="F119" s="46"/>
      <c r="G119" s="46"/>
      <c r="H119" s="46"/>
      <c r="I119" s="46"/>
      <c r="J119" s="46"/>
    </row>
    <row r="120" spans="1:10">
      <c r="A120" s="427"/>
      <c r="B120" s="72"/>
      <c r="C120" s="27"/>
      <c r="D120" s="72"/>
      <c r="F120" s="46"/>
      <c r="G120" s="46"/>
      <c r="H120" s="46"/>
      <c r="I120" s="46"/>
      <c r="J120" s="46"/>
    </row>
    <row r="121" spans="1:10">
      <c r="A121" s="427"/>
      <c r="B121" s="72"/>
      <c r="C121" s="27"/>
      <c r="D121" s="72"/>
    </row>
    <row r="122" spans="1:10">
      <c r="A122" s="427"/>
      <c r="B122" s="72"/>
      <c r="C122" s="27"/>
      <c r="D122" s="72"/>
    </row>
    <row r="123" spans="1:10">
      <c r="A123" s="427"/>
      <c r="B123" s="72"/>
      <c r="C123" s="27"/>
      <c r="D123" s="72"/>
    </row>
    <row r="124" spans="1:10">
      <c r="A124" s="427"/>
      <c r="B124" s="72"/>
      <c r="C124" s="27"/>
      <c r="D124" s="72"/>
    </row>
    <row r="125" spans="1:10">
      <c r="A125" s="427"/>
      <c r="B125" s="72"/>
      <c r="C125" s="27"/>
      <c r="D125" s="72"/>
    </row>
    <row r="126" spans="1:10">
      <c r="A126" s="296"/>
      <c r="B126" s="72"/>
      <c r="C126" s="27"/>
      <c r="D126" s="72"/>
    </row>
    <row r="127" spans="1:10">
      <c r="A127" s="296"/>
    </row>
    <row r="128" spans="1:10">
      <c r="A128" s="296"/>
      <c r="B128" s="72"/>
      <c r="C128" s="72"/>
      <c r="D128" s="72"/>
    </row>
    <row r="129" spans="1:18">
      <c r="A129" s="296"/>
      <c r="B129" s="72"/>
      <c r="C129" s="72"/>
      <c r="D129" s="27"/>
    </row>
    <row r="130" spans="1:18">
      <c r="A130" s="296"/>
      <c r="B130" s="72"/>
      <c r="C130" s="72"/>
      <c r="D130" s="27"/>
    </row>
    <row r="131" spans="1:18">
      <c r="A131" s="296"/>
      <c r="B131" s="72"/>
      <c r="C131" s="72"/>
      <c r="D131" s="72"/>
    </row>
    <row r="132" spans="1:18">
      <c r="A132" s="296"/>
      <c r="B132" s="72"/>
      <c r="C132" s="27"/>
      <c r="D132" s="72"/>
    </row>
    <row r="133" spans="1:18">
      <c r="A133" s="296"/>
      <c r="B133" s="72"/>
      <c r="C133" s="27"/>
      <c r="D133" s="27"/>
    </row>
    <row r="134" spans="1:18">
      <c r="A134" s="296"/>
      <c r="B134" s="72"/>
      <c r="C134" s="27"/>
      <c r="D134" s="27"/>
    </row>
    <row r="135" spans="1:18">
      <c r="A135" s="296"/>
      <c r="B135" s="72"/>
      <c r="C135" s="27"/>
      <c r="D135" s="72"/>
    </row>
    <row r="136" spans="1:18">
      <c r="A136" s="296"/>
      <c r="B136" s="72"/>
      <c r="C136" s="72"/>
      <c r="D136" s="72"/>
    </row>
    <row r="137" spans="1:18">
      <c r="A137" s="296"/>
      <c r="B137" s="72"/>
      <c r="C137" s="72"/>
      <c r="D137" s="72"/>
    </row>
    <row r="138" spans="1:18">
      <c r="A138" s="296"/>
      <c r="B138" s="72"/>
      <c r="C138" s="72"/>
      <c r="D138" s="72"/>
    </row>
    <row r="139" spans="1:18">
      <c r="A139" s="296"/>
      <c r="B139" s="72"/>
      <c r="C139" s="72"/>
      <c r="D139" s="72"/>
    </row>
    <row r="140" spans="1:18">
      <c r="A140" s="296"/>
      <c r="B140" s="72"/>
      <c r="C140" s="72"/>
      <c r="D140" s="72"/>
      <c r="N140" s="72"/>
      <c r="O140" s="70"/>
      <c r="Q140" s="60"/>
      <c r="R140" s="72"/>
    </row>
    <row r="141" spans="1:18">
      <c r="A141" s="296"/>
      <c r="B141" s="72"/>
      <c r="C141" s="72"/>
      <c r="D141" s="72"/>
      <c r="N141" s="72"/>
      <c r="O141" s="70"/>
      <c r="Q141" s="60"/>
      <c r="R141" s="27"/>
    </row>
    <row r="142" spans="1:18">
      <c r="A142" s="296"/>
      <c r="B142" s="72"/>
      <c r="C142" s="72"/>
      <c r="D142" s="72"/>
      <c r="N142" s="72"/>
      <c r="O142" s="70"/>
      <c r="Q142" s="60"/>
      <c r="R142" s="27"/>
    </row>
    <row r="143" spans="1:18">
      <c r="A143" s="296"/>
      <c r="B143" s="72"/>
      <c r="C143" s="72"/>
      <c r="D143" s="72"/>
      <c r="N143" s="72"/>
      <c r="O143" s="70"/>
    </row>
    <row r="144" spans="1:18">
      <c r="A144" s="296"/>
      <c r="B144" s="72"/>
      <c r="C144" s="72"/>
      <c r="D144" s="72"/>
      <c r="N144" s="72"/>
      <c r="O144" s="70"/>
    </row>
    <row r="145" spans="1:15">
      <c r="A145" s="296"/>
      <c r="B145" s="72"/>
      <c r="C145" s="72"/>
      <c r="D145" s="72"/>
      <c r="N145" s="72"/>
      <c r="O145" s="70"/>
    </row>
    <row r="146" spans="1:15">
      <c r="A146" s="296"/>
      <c r="B146" s="72"/>
      <c r="C146" s="72"/>
      <c r="D146" s="72"/>
      <c r="N146" s="72"/>
      <c r="O146" s="70"/>
    </row>
    <row r="147" spans="1:15">
      <c r="A147" s="296"/>
      <c r="B147" s="72"/>
      <c r="C147" s="72"/>
      <c r="D147" s="72"/>
      <c r="N147" s="72"/>
      <c r="O147" s="70"/>
    </row>
    <row r="148" spans="1:15">
      <c r="A148" s="296"/>
      <c r="B148" s="72"/>
      <c r="C148" s="72"/>
      <c r="D148" s="72"/>
      <c r="N148" s="72"/>
      <c r="O148" s="70"/>
    </row>
    <row r="149" spans="1:15">
      <c r="A149" s="296"/>
      <c r="B149" s="72"/>
      <c r="C149" s="72"/>
      <c r="D149" s="72"/>
      <c r="N149" s="72"/>
      <c r="O149" s="70"/>
    </row>
    <row r="150" spans="1:15">
      <c r="A150" s="296"/>
      <c r="B150" s="72"/>
      <c r="C150" s="72"/>
      <c r="D150" s="72"/>
      <c r="N150" s="72"/>
      <c r="O150" s="70"/>
    </row>
    <row r="151" spans="1:15">
      <c r="A151" s="296"/>
      <c r="B151" s="72"/>
      <c r="C151" s="72"/>
      <c r="D151" s="72"/>
      <c r="N151" s="72"/>
      <c r="O151" s="70"/>
    </row>
    <row r="152" spans="1:15">
      <c r="A152" s="296"/>
      <c r="B152" s="72"/>
      <c r="C152" s="72"/>
      <c r="D152" s="72"/>
      <c r="N152" s="72"/>
      <c r="O152" s="70"/>
    </row>
    <row r="153" spans="1:15">
      <c r="A153" s="296"/>
      <c r="B153" s="72"/>
      <c r="C153" s="72"/>
      <c r="D153" s="72"/>
      <c r="N153" s="72"/>
      <c r="O153" s="70"/>
    </row>
    <row r="154" spans="1:15">
      <c r="A154" s="296"/>
      <c r="B154" s="72"/>
      <c r="C154" s="72"/>
      <c r="D154" s="72"/>
      <c r="N154" s="72"/>
      <c r="O154" s="70"/>
    </row>
    <row r="155" spans="1:15">
      <c r="A155" s="296"/>
      <c r="B155" s="72"/>
      <c r="C155" s="72"/>
      <c r="D155" s="72"/>
      <c r="N155" s="72"/>
      <c r="O155" s="70"/>
    </row>
    <row r="156" spans="1:15">
      <c r="A156" s="296"/>
      <c r="B156" s="72"/>
      <c r="C156" s="72"/>
      <c r="D156" s="72"/>
      <c r="N156" s="72"/>
      <c r="O156" s="70"/>
    </row>
    <row r="157" spans="1:15">
      <c r="A157" s="296"/>
      <c r="B157" s="72"/>
      <c r="C157" s="72"/>
      <c r="D157" s="72"/>
      <c r="N157" s="72"/>
      <c r="O157" s="70"/>
    </row>
    <row r="158" spans="1:15">
      <c r="A158" s="296"/>
      <c r="B158" s="72"/>
      <c r="C158" s="72"/>
      <c r="D158" s="72"/>
      <c r="N158" s="72"/>
      <c r="O158" s="70"/>
    </row>
    <row r="159" spans="1:15">
      <c r="A159" s="296"/>
      <c r="B159" s="72"/>
      <c r="C159" s="72"/>
      <c r="D159" s="72"/>
      <c r="N159" s="72"/>
      <c r="O159" s="70"/>
    </row>
    <row r="160" spans="1:15">
      <c r="A160" s="296"/>
      <c r="B160" s="72"/>
      <c r="C160" s="72"/>
      <c r="D160" s="72"/>
      <c r="N160" s="72"/>
      <c r="O160" s="70"/>
    </row>
    <row r="161" spans="1:15">
      <c r="A161" s="296"/>
      <c r="B161" s="72"/>
      <c r="C161" s="72"/>
      <c r="D161" s="72"/>
      <c r="N161" s="72"/>
      <c r="O161" s="70"/>
    </row>
    <row r="162" spans="1:15">
      <c r="A162" s="296"/>
      <c r="B162" s="72"/>
      <c r="C162" s="72"/>
      <c r="D162" s="72"/>
      <c r="N162" s="72"/>
      <c r="O162" s="70"/>
    </row>
    <row r="163" spans="1:15">
      <c r="A163" s="296"/>
      <c r="B163" s="72"/>
      <c r="C163" s="72"/>
      <c r="D163" s="72"/>
      <c r="N163" s="72"/>
      <c r="O163" s="70"/>
    </row>
    <row r="164" spans="1:15">
      <c r="A164" s="296"/>
      <c r="B164" s="72"/>
      <c r="C164" s="72"/>
      <c r="D164" s="72"/>
      <c r="N164" s="72"/>
      <c r="O164" s="70"/>
    </row>
    <row r="165" spans="1:15">
      <c r="A165" s="296"/>
      <c r="B165" s="72"/>
      <c r="C165" s="72"/>
      <c r="D165" s="72"/>
      <c r="N165" s="72"/>
      <c r="O165" s="70"/>
    </row>
    <row r="166" spans="1:15">
      <c r="A166" s="296"/>
      <c r="B166" s="72"/>
      <c r="C166" s="72"/>
      <c r="D166" s="72"/>
      <c r="N166" s="72"/>
      <c r="O166" s="70"/>
    </row>
    <row r="167" spans="1:15">
      <c r="A167" s="296"/>
      <c r="B167" s="72"/>
      <c r="C167" s="72"/>
      <c r="D167" s="72"/>
      <c r="N167" s="72"/>
      <c r="O167" s="70"/>
    </row>
    <row r="168" spans="1:15">
      <c r="A168" s="296"/>
      <c r="B168" s="72"/>
      <c r="C168" s="72"/>
      <c r="D168" s="72"/>
      <c r="N168" s="72"/>
      <c r="O168" s="70"/>
    </row>
    <row r="169" spans="1:15">
      <c r="A169" s="296"/>
      <c r="B169" s="72"/>
      <c r="C169" s="72"/>
      <c r="D169" s="72"/>
      <c r="N169" s="72"/>
      <c r="O169" s="70"/>
    </row>
    <row r="170" spans="1:15">
      <c r="A170" s="296"/>
      <c r="B170" s="72"/>
      <c r="C170" s="72"/>
      <c r="D170" s="72"/>
      <c r="N170" s="72"/>
      <c r="O170" s="70"/>
    </row>
    <row r="171" spans="1:15">
      <c r="A171" s="296"/>
      <c r="B171" s="72"/>
      <c r="C171" s="72"/>
      <c r="D171" s="72"/>
      <c r="N171" s="72"/>
      <c r="O171" s="70"/>
    </row>
    <row r="172" spans="1:15">
      <c r="A172" s="296"/>
      <c r="B172" s="72"/>
      <c r="C172" s="72"/>
      <c r="D172" s="72"/>
      <c r="N172" s="72"/>
      <c r="O172" s="70"/>
    </row>
    <row r="173" spans="1:15">
      <c r="A173" s="296"/>
      <c r="B173" s="72"/>
      <c r="C173" s="72"/>
      <c r="D173" s="72"/>
      <c r="N173" s="72"/>
      <c r="O173" s="70"/>
    </row>
    <row r="174" spans="1:15">
      <c r="A174" s="296"/>
      <c r="B174" s="72"/>
      <c r="C174" s="72"/>
      <c r="D174" s="72"/>
      <c r="N174" s="72"/>
      <c r="O174" s="70"/>
    </row>
    <row r="175" spans="1:15">
      <c r="A175" s="296"/>
      <c r="B175" s="72"/>
      <c r="C175" s="72"/>
      <c r="D175" s="72"/>
      <c r="N175" s="72"/>
      <c r="O175" s="70"/>
    </row>
    <row r="176" spans="1:15">
      <c r="A176" s="296"/>
      <c r="B176" s="72"/>
      <c r="C176" s="72"/>
      <c r="D176" s="72"/>
      <c r="N176" s="72"/>
      <c r="O176" s="70"/>
    </row>
    <row r="177" spans="1:15">
      <c r="A177" s="296"/>
      <c r="B177" s="72"/>
      <c r="C177" s="72"/>
      <c r="D177" s="72"/>
      <c r="N177" s="72"/>
      <c r="O177" s="70"/>
    </row>
    <row r="178" spans="1:15">
      <c r="A178" s="296"/>
      <c r="B178" s="72"/>
      <c r="C178" s="72"/>
      <c r="D178" s="72"/>
      <c r="F178" s="27"/>
      <c r="N178" s="72"/>
      <c r="O178" s="70"/>
    </row>
    <row r="179" spans="1:15">
      <c r="A179" s="296"/>
      <c r="B179" s="72"/>
      <c r="C179" s="72"/>
      <c r="D179" s="72"/>
      <c r="N179" s="72"/>
      <c r="O179" s="70"/>
    </row>
    <row r="180" spans="1:15">
      <c r="C180" s="27"/>
      <c r="D180" s="27"/>
      <c r="N180" s="72"/>
      <c r="O180" s="70"/>
    </row>
    <row r="181" spans="1:15">
      <c r="N181" s="72"/>
      <c r="O181" s="70"/>
    </row>
    <row r="182" spans="1:15">
      <c r="N182" s="72"/>
      <c r="O182" s="70"/>
    </row>
    <row r="183" spans="1:15">
      <c r="N183" s="72"/>
      <c r="O183" s="70"/>
    </row>
    <row r="184" spans="1:15">
      <c r="N184" s="72"/>
      <c r="O184" s="70"/>
    </row>
    <row r="185" spans="1:15">
      <c r="N185" s="72"/>
      <c r="O185" s="70"/>
    </row>
    <row r="186" spans="1:15">
      <c r="N186" s="72"/>
      <c r="O186" s="70"/>
    </row>
    <row r="187" spans="1:15">
      <c r="N187" s="72"/>
      <c r="O187" s="70"/>
    </row>
    <row r="188" spans="1:15">
      <c r="N188" s="72"/>
      <c r="O188" s="70"/>
    </row>
    <row r="189" spans="1:15">
      <c r="N189" s="72"/>
      <c r="O189" s="70"/>
    </row>
  </sheetData>
  <mergeCells count="60">
    <mergeCell ref="A126:A179"/>
    <mergeCell ref="A11:D11"/>
    <mergeCell ref="A12:B12"/>
    <mergeCell ref="A2:D3"/>
    <mergeCell ref="G6:K6"/>
    <mergeCell ref="G7:K7"/>
    <mergeCell ref="A28:D28"/>
    <mergeCell ref="A29:D29"/>
    <mergeCell ref="G8:K8"/>
    <mergeCell ref="A23:F23"/>
    <mergeCell ref="A24:B24"/>
    <mergeCell ref="A25:B25"/>
    <mergeCell ref="A27:F27"/>
    <mergeCell ref="G9:K9"/>
    <mergeCell ref="G10:K10"/>
    <mergeCell ref="G11:K11"/>
    <mergeCell ref="G3:L3"/>
    <mergeCell ref="G4:K4"/>
    <mergeCell ref="G5:K5"/>
    <mergeCell ref="A1:Q1"/>
    <mergeCell ref="A4:B4"/>
    <mergeCell ref="A104:A125"/>
    <mergeCell ref="A30:D30"/>
    <mergeCell ref="A31:D31"/>
    <mergeCell ref="A32:D32"/>
    <mergeCell ref="E53:F53"/>
    <mergeCell ref="A62:B62"/>
    <mergeCell ref="A88:A95"/>
    <mergeCell ref="A67:F67"/>
    <mergeCell ref="A70:B70"/>
    <mergeCell ref="A69:B69"/>
    <mergeCell ref="A72:B72"/>
    <mergeCell ref="A73:B73"/>
    <mergeCell ref="A71:B71"/>
    <mergeCell ref="A55:B55"/>
    <mergeCell ref="A56:B56"/>
    <mergeCell ref="A57:B57"/>
    <mergeCell ref="Q25:V25"/>
    <mergeCell ref="A33:D33"/>
    <mergeCell ref="A47:F47"/>
    <mergeCell ref="A50:B50"/>
    <mergeCell ref="I25:N25"/>
    <mergeCell ref="E49:G49"/>
    <mergeCell ref="E50:F50"/>
    <mergeCell ref="A26:B26"/>
    <mergeCell ref="A34:D34"/>
    <mergeCell ref="A96:A103"/>
    <mergeCell ref="A51:B51"/>
    <mergeCell ref="A49:C49"/>
    <mergeCell ref="E51:F51"/>
    <mergeCell ref="A59:F59"/>
    <mergeCell ref="A60:B60"/>
    <mergeCell ref="E60:G60"/>
    <mergeCell ref="A74:B74"/>
    <mergeCell ref="A77:F77"/>
    <mergeCell ref="A80:A83"/>
    <mergeCell ref="A84:A87"/>
    <mergeCell ref="E54:F54"/>
    <mergeCell ref="E55:F55"/>
    <mergeCell ref="E56:F56"/>
  </mergeCells>
  <conditionalFormatting sqref="J54">
    <cfRule type="containsText" priority="4" operator="containsText" text="SI">
      <formula>NOT(ISERROR(SEARCH("SI",J54)))</formula>
    </cfRule>
  </conditionalFormatting>
  <conditionalFormatting sqref="C57">
    <cfRule type="containsText" dxfId="1" priority="1" operator="containsText" text="NO">
      <formula>NOT(ISERROR(SEARCH("NO",C57)))</formula>
    </cfRule>
    <cfRule type="containsText" dxfId="0" priority="2" operator="containsText" text="SI">
      <formula>NOT(ISERROR(SEARCH("SI",C57)))</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0" r:id="rId3" name="Button 6">
              <controlPr defaultSize="0" print="0" autoFill="0" autoPict="0" macro="[0]!MemoríadecálculoDesarenador_Botón6_Haga_clic_en">
                <anchor moveWithCells="1" sizeWithCells="1">
                  <from>
                    <xdr:col>12</xdr:col>
                    <xdr:colOff>123825</xdr:colOff>
                    <xdr:row>3</xdr:row>
                    <xdr:rowOff>0</xdr:rowOff>
                  </from>
                  <to>
                    <xdr:col>14</xdr:col>
                    <xdr:colOff>19050</xdr:colOff>
                    <xdr:row>6</xdr:row>
                    <xdr:rowOff>114300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A1:O61"/>
  <sheetViews>
    <sheetView zoomScale="80" zoomScaleNormal="80" workbookViewId="0">
      <selection activeCell="H6" sqref="H6"/>
    </sheetView>
  </sheetViews>
  <sheetFormatPr baseColWidth="10" defaultColWidth="11.42578125" defaultRowHeight="14.25"/>
  <cols>
    <col min="1" max="1" width="22.7109375" style="21" customWidth="1"/>
    <col min="2" max="2" width="11.42578125" style="21"/>
    <col min="3" max="3" width="14.28515625" style="21" customWidth="1"/>
    <col min="4" max="7" width="11.42578125" style="21"/>
    <col min="8" max="8" width="16.7109375" style="21" bestFit="1" customWidth="1"/>
    <col min="9" max="16384" width="11.42578125" style="21"/>
  </cols>
  <sheetData>
    <row r="1" spans="1:15" ht="33" customHeight="1" thickBot="1">
      <c r="A1" s="391" t="s">
        <v>407</v>
      </c>
      <c r="B1" s="391"/>
      <c r="C1" s="391"/>
      <c r="D1" s="391"/>
      <c r="E1" s="391"/>
      <c r="F1" s="391"/>
      <c r="G1" s="391"/>
      <c r="H1" s="391"/>
      <c r="I1" s="391"/>
      <c r="J1" s="391"/>
      <c r="K1" s="391"/>
      <c r="L1" s="391"/>
      <c r="M1" s="391"/>
      <c r="N1" s="391"/>
      <c r="O1" s="391"/>
    </row>
    <row r="2" spans="1:15" ht="28.5">
      <c r="A2" s="447" t="s">
        <v>77</v>
      </c>
      <c r="B2" s="448"/>
      <c r="C2" s="214" t="s">
        <v>408</v>
      </c>
      <c r="D2" s="214" t="s">
        <v>409</v>
      </c>
    </row>
    <row r="3" spans="1:15">
      <c r="A3" s="12" t="s">
        <v>45</v>
      </c>
      <c r="B3" s="9" t="s">
        <v>80</v>
      </c>
      <c r="C3" s="3">
        <v>1</v>
      </c>
      <c r="D3" s="3">
        <f>+C3</f>
        <v>1</v>
      </c>
    </row>
    <row r="4" spans="1:15">
      <c r="A4" s="12" t="s">
        <v>47</v>
      </c>
      <c r="B4" s="9" t="s">
        <v>81</v>
      </c>
      <c r="C4" s="3">
        <v>1</v>
      </c>
      <c r="D4" s="3">
        <f>+C4</f>
        <v>1</v>
      </c>
    </row>
    <row r="5" spans="1:15">
      <c r="A5" s="12" t="s">
        <v>49</v>
      </c>
      <c r="B5" s="9" t="s">
        <v>82</v>
      </c>
      <c r="C5" s="3">
        <v>1</v>
      </c>
      <c r="D5" s="3">
        <f>+C5</f>
        <v>1</v>
      </c>
    </row>
    <row r="6" spans="1:15">
      <c r="A6" s="12" t="s">
        <v>50</v>
      </c>
      <c r="B6" s="9" t="s">
        <v>81</v>
      </c>
      <c r="C6" s="3">
        <v>1E-4</v>
      </c>
      <c r="D6" s="3">
        <f>+C6</f>
        <v>1E-4</v>
      </c>
    </row>
    <row r="7" spans="1:15">
      <c r="A7" s="12" t="s">
        <v>51</v>
      </c>
      <c r="B7" s="9"/>
      <c r="C7" s="231">
        <v>2.5000000000000001E-2</v>
      </c>
      <c r="D7" s="231">
        <f>+C7</f>
        <v>2.5000000000000001E-2</v>
      </c>
    </row>
    <row r="8" spans="1:15">
      <c r="A8" s="12" t="s">
        <v>83</v>
      </c>
      <c r="B8" s="9" t="s">
        <v>82</v>
      </c>
      <c r="C8" s="231">
        <v>20</v>
      </c>
    </row>
    <row r="10" spans="1:15" ht="15">
      <c r="A10" s="449" t="s">
        <v>410</v>
      </c>
      <c r="B10" s="450"/>
      <c r="C10" s="451"/>
      <c r="D10" s="231">
        <v>0.2</v>
      </c>
    </row>
    <row r="11" spans="1:15" ht="15">
      <c r="A11" s="449" t="s">
        <v>411</v>
      </c>
      <c r="B11" s="450"/>
      <c r="C11" s="451"/>
      <c r="D11" s="231">
        <v>0.3</v>
      </c>
      <c r="H11" s="458" t="s">
        <v>412</v>
      </c>
      <c r="I11" s="458"/>
      <c r="J11" s="458"/>
      <c r="K11" s="458"/>
    </row>
    <row r="12" spans="1:15" ht="14.25" customHeight="1">
      <c r="A12" s="449" t="s">
        <v>413</v>
      </c>
      <c r="B12" s="450"/>
      <c r="C12" s="451"/>
      <c r="D12" s="231">
        <v>12.5</v>
      </c>
      <c r="H12" s="458"/>
      <c r="I12" s="458"/>
      <c r="J12" s="458"/>
      <c r="K12" s="458"/>
    </row>
    <row r="13" spans="1:15">
      <c r="A13" s="449" t="s">
        <v>414</v>
      </c>
      <c r="B13" s="450"/>
      <c r="C13" s="451"/>
      <c r="D13" s="231">
        <v>10</v>
      </c>
      <c r="H13" s="458"/>
      <c r="I13" s="458"/>
      <c r="J13" s="458"/>
      <c r="K13" s="458"/>
    </row>
    <row r="14" spans="1:15" ht="15">
      <c r="A14" s="449" t="s">
        <v>415</v>
      </c>
      <c r="B14" s="450"/>
      <c r="C14" s="451"/>
      <c r="D14" s="231">
        <v>1.7999999999999999E-2</v>
      </c>
      <c r="F14" s="164"/>
      <c r="H14" s="452" t="s">
        <v>416</v>
      </c>
      <c r="I14" s="453"/>
      <c r="J14" s="454"/>
      <c r="K14" s="231">
        <v>50</v>
      </c>
    </row>
    <row r="15" spans="1:15" ht="34.5" customHeight="1" thickBot="1">
      <c r="A15" s="442" t="s">
        <v>137</v>
      </c>
      <c r="B15" s="442"/>
      <c r="C15" s="442"/>
      <c r="D15" s="442"/>
      <c r="E15" s="442"/>
      <c r="F15" s="442"/>
      <c r="G15" s="442"/>
      <c r="H15" s="442"/>
      <c r="I15" s="442"/>
      <c r="J15" s="442"/>
      <c r="K15" s="442"/>
      <c r="L15" s="442"/>
      <c r="M15" s="442"/>
      <c r="N15" s="442"/>
      <c r="O15" s="442"/>
    </row>
    <row r="16" spans="1:15" ht="15">
      <c r="A16" s="443" t="s">
        <v>169</v>
      </c>
      <c r="B16" s="443"/>
      <c r="D16" s="444" t="s">
        <v>172</v>
      </c>
      <c r="E16" s="445"/>
      <c r="F16" s="446"/>
      <c r="H16" s="444" t="s">
        <v>173</v>
      </c>
      <c r="I16" s="445"/>
      <c r="J16" s="446"/>
      <c r="L16" s="444" t="s">
        <v>174</v>
      </c>
      <c r="M16" s="445"/>
      <c r="N16" s="446"/>
    </row>
    <row r="17" spans="1:14">
      <c r="A17" s="23" t="s">
        <v>417</v>
      </c>
      <c r="B17" s="165">
        <v>1.5895969999977608</v>
      </c>
      <c r="D17" s="292" t="s">
        <v>418</v>
      </c>
      <c r="E17" s="293"/>
      <c r="F17" s="23">
        <v>1.4000350000058919</v>
      </c>
      <c r="H17" s="292" t="s">
        <v>419</v>
      </c>
      <c r="I17" s="293"/>
      <c r="J17" s="25">
        <v>1.231979999988835</v>
      </c>
      <c r="L17" s="292" t="s">
        <v>420</v>
      </c>
      <c r="M17" s="293"/>
      <c r="N17" s="25">
        <v>1.3761700000005479</v>
      </c>
    </row>
    <row r="18" spans="1:14">
      <c r="A18" s="23" t="s">
        <v>421</v>
      </c>
      <c r="B18" s="165">
        <f>+(C5+C4*B17)*B17</f>
        <v>4.116415622399642</v>
      </c>
      <c r="D18" s="292" t="s">
        <v>422</v>
      </c>
      <c r="E18" s="293"/>
      <c r="F18" s="25">
        <v>0.4</v>
      </c>
      <c r="H18" s="292" t="s">
        <v>422</v>
      </c>
      <c r="I18" s="293"/>
      <c r="J18" s="25">
        <v>0.4</v>
      </c>
      <c r="L18" s="292" t="s">
        <v>421</v>
      </c>
      <c r="M18" s="293"/>
      <c r="N18" s="25">
        <f>+(D5+D4*N17)*N17</f>
        <v>3.2700138689020561</v>
      </c>
    </row>
    <row r="19" spans="1:14">
      <c r="A19" s="23" t="s">
        <v>423</v>
      </c>
      <c r="B19" s="165">
        <f>+C5+2*C4*B17</f>
        <v>4.1791939999955217</v>
      </c>
      <c r="D19" s="292" t="s">
        <v>421</v>
      </c>
      <c r="E19" s="293"/>
      <c r="F19" s="25">
        <f>+F17*F18</f>
        <v>0.56001400000235679</v>
      </c>
      <c r="H19" s="292" t="s">
        <v>421</v>
      </c>
      <c r="I19" s="293"/>
      <c r="J19" s="25">
        <f>+J17*J18</f>
        <v>0.49279199999553402</v>
      </c>
      <c r="L19" s="23" t="s">
        <v>423</v>
      </c>
      <c r="M19" s="34"/>
      <c r="N19" s="25">
        <f>+D5+2*D4*N17</f>
        <v>3.7523400000010958</v>
      </c>
    </row>
    <row r="20" spans="1:14">
      <c r="A20" s="23" t="s">
        <v>424</v>
      </c>
      <c r="B20" s="165">
        <f>+C5+2*B17*(1+C4^2)^0.5</f>
        <v>5.4960592722088366</v>
      </c>
      <c r="D20" s="23" t="s">
        <v>423</v>
      </c>
      <c r="E20" s="34"/>
      <c r="F20" s="25">
        <f>+F18</f>
        <v>0.4</v>
      </c>
      <c r="H20" s="23" t="s">
        <v>423</v>
      </c>
      <c r="I20" s="34"/>
      <c r="J20" s="25">
        <f>+J18</f>
        <v>0.4</v>
      </c>
      <c r="L20" s="292" t="s">
        <v>424</v>
      </c>
      <c r="M20" s="293"/>
      <c r="N20" s="25">
        <f>+D5+2*N17*(1+D4^2)^0.5</f>
        <v>4.892396556263515</v>
      </c>
    </row>
    <row r="21" spans="1:14">
      <c r="A21" s="23" t="s">
        <v>425</v>
      </c>
      <c r="B21" s="165">
        <f>+B18/B20</f>
        <v>0.74897584223928437</v>
      </c>
      <c r="D21" s="33" t="s">
        <v>424</v>
      </c>
      <c r="E21" s="34"/>
      <c r="F21" s="25">
        <f>+F18+2*F17</f>
        <v>3.2000700000117837</v>
      </c>
      <c r="H21" s="33" t="s">
        <v>424</v>
      </c>
      <c r="I21" s="34"/>
      <c r="J21" s="25">
        <f>+J18+2*J17</f>
        <v>2.8639599999776699</v>
      </c>
      <c r="L21" s="292" t="s">
        <v>425</v>
      </c>
      <c r="M21" s="293"/>
      <c r="N21" s="25">
        <f>+N18/N20</f>
        <v>0.66838692066275873</v>
      </c>
    </row>
    <row r="22" spans="1:14">
      <c r="A22" s="23" t="s">
        <v>370</v>
      </c>
      <c r="B22" s="165">
        <f>+C3/B18</f>
        <v>0.24292979420213537</v>
      </c>
      <c r="D22" s="33" t="s">
        <v>425</v>
      </c>
      <c r="E22" s="34"/>
      <c r="F22" s="25">
        <f>+F19/F21</f>
        <v>0.17500054686312944</v>
      </c>
      <c r="H22" s="33" t="s">
        <v>425</v>
      </c>
      <c r="I22" s="34"/>
      <c r="J22" s="25">
        <f>+J19/J21</f>
        <v>0.17206664897532656</v>
      </c>
      <c r="L22" s="292" t="s">
        <v>370</v>
      </c>
      <c r="M22" s="293"/>
      <c r="N22" s="25">
        <f>+D3/N18</f>
        <v>0.30580910053930788</v>
      </c>
    </row>
    <row r="23" spans="1:14">
      <c r="A23" s="23" t="s">
        <v>426</v>
      </c>
      <c r="B23" s="165">
        <f>+B22/(9.81*B18/B19)</f>
        <v>2.5141147087753439E-2</v>
      </c>
      <c r="D23" s="33" t="s">
        <v>370</v>
      </c>
      <c r="E23" s="34"/>
      <c r="F23" s="25">
        <f>C3/F19</f>
        <v>1.7856696439656714</v>
      </c>
      <c r="H23" s="33" t="s">
        <v>370</v>
      </c>
      <c r="I23" s="34"/>
      <c r="J23" s="25">
        <f>+D3/J19</f>
        <v>2.0292537216697157</v>
      </c>
      <c r="L23" s="292" t="s">
        <v>426</v>
      </c>
      <c r="M23" s="293"/>
      <c r="N23" s="25">
        <f>+N22/(9.81*N18/N19)</f>
        <v>3.5771239280280878E-2</v>
      </c>
    </row>
    <row r="24" spans="1:14">
      <c r="A24" s="23" t="s">
        <v>105</v>
      </c>
      <c r="B24" s="165">
        <f>+B17+B22^2/(2*9.81)</f>
        <v>1.5926048942338003</v>
      </c>
      <c r="D24" s="33" t="s">
        <v>426</v>
      </c>
      <c r="E24" s="34"/>
      <c r="F24" s="25">
        <f>+F23/(9.81*F19/F20)</f>
        <v>0.13001492670256831</v>
      </c>
      <c r="H24" s="33" t="s">
        <v>426</v>
      </c>
      <c r="I24" s="34"/>
      <c r="J24" s="25">
        <f>+J23/(9.81*J19/J20)</f>
        <v>0.16790502209624433</v>
      </c>
      <c r="L24" s="292" t="s">
        <v>105</v>
      </c>
      <c r="M24" s="293"/>
      <c r="N24" s="25">
        <f>+N17+N22^2/(2*9.81)</f>
        <v>1.3809365242601126</v>
      </c>
    </row>
    <row r="25" spans="1:14">
      <c r="A25" s="23" t="s">
        <v>427</v>
      </c>
      <c r="B25" s="165">
        <f>+IF(C7&gt;0.02,B17*0.333333333333333,B17*0.2)</f>
        <v>0.52986566666591972</v>
      </c>
      <c r="D25" s="33" t="s">
        <v>105</v>
      </c>
      <c r="E25" s="34"/>
      <c r="F25" s="25">
        <f>+F17+F23^2/(2*9.81)</f>
        <v>1.5625536583841022</v>
      </c>
      <c r="H25" s="33" t="s">
        <v>105</v>
      </c>
      <c r="I25" s="34"/>
      <c r="J25" s="25">
        <f>+J17+J23^2/(2*9.81)</f>
        <v>1.4418612776091404</v>
      </c>
      <c r="L25" s="292" t="s">
        <v>427</v>
      </c>
      <c r="M25" s="293"/>
      <c r="N25" s="25">
        <f>+IF(D7&gt;0.02,N17*0.333333333333333,N17*0.2)</f>
        <v>0.4587233333335155</v>
      </c>
    </row>
    <row r="26" spans="1:14">
      <c r="A26" s="23" t="s">
        <v>428</v>
      </c>
      <c r="B26" s="165">
        <f>+C8</f>
        <v>20</v>
      </c>
      <c r="D26" s="33" t="s">
        <v>427</v>
      </c>
      <c r="E26" s="34"/>
      <c r="F26" s="25">
        <f>+F17*0.2</f>
        <v>0.2800070000011784</v>
      </c>
      <c r="H26" s="33" t="s">
        <v>427</v>
      </c>
      <c r="I26" s="34"/>
      <c r="J26" s="25">
        <f>+J17*0.2</f>
        <v>0.24639599999776701</v>
      </c>
      <c r="L26" s="292" t="s">
        <v>429</v>
      </c>
      <c r="M26" s="293"/>
      <c r="N26" s="25">
        <f>+J27-C31*C6</f>
        <v>19.997382999999999</v>
      </c>
    </row>
    <row r="27" spans="1:14">
      <c r="A27" s="23" t="s">
        <v>430</v>
      </c>
      <c r="B27" s="165">
        <f>ROUNDUP(B26+B17+B25,1)</f>
        <v>22.200000000000003</v>
      </c>
      <c r="D27" s="292" t="s">
        <v>431</v>
      </c>
      <c r="E27" s="293"/>
      <c r="F27" s="25">
        <f>+B26-C32*C6</f>
        <v>19.999140000000001</v>
      </c>
      <c r="H27" s="292" t="s">
        <v>432</v>
      </c>
      <c r="I27" s="293"/>
      <c r="J27" s="25">
        <f>+F27-D13*C6</f>
        <v>19.998139999999999</v>
      </c>
      <c r="L27" s="292" t="s">
        <v>433</v>
      </c>
      <c r="M27" s="293"/>
      <c r="N27" s="25">
        <f>+B27</f>
        <v>22.200000000000003</v>
      </c>
    </row>
    <row r="28" spans="1:14">
      <c r="A28" s="23" t="s">
        <v>434</v>
      </c>
      <c r="B28" s="165">
        <f>+C5+2*C4*(B27-B26)</f>
        <v>5.4000000000000057</v>
      </c>
      <c r="D28" s="292" t="s">
        <v>435</v>
      </c>
      <c r="E28" s="293"/>
      <c r="F28" s="25">
        <f>+J28</f>
        <v>22.200000000000003</v>
      </c>
      <c r="H28" s="292" t="s">
        <v>436</v>
      </c>
      <c r="I28" s="293"/>
      <c r="J28" s="25">
        <f>+N27</f>
        <v>22.200000000000003</v>
      </c>
      <c r="L28" s="292" t="s">
        <v>434</v>
      </c>
      <c r="M28" s="293"/>
      <c r="N28" s="165">
        <f>+D5+2*D4*(N27-N26)</f>
        <v>5.4052340000000072</v>
      </c>
    </row>
    <row r="31" spans="1:14">
      <c r="A31" s="292" t="s">
        <v>437</v>
      </c>
      <c r="B31" s="293"/>
      <c r="C31" s="25">
        <f>ROUNDUP((N19-J18)/(2*TAN(D12/180*PI())),2)</f>
        <v>7.5699999999999994</v>
      </c>
      <c r="F31" s="70"/>
    </row>
    <row r="32" spans="1:14">
      <c r="A32" s="292" t="s">
        <v>438</v>
      </c>
      <c r="B32" s="293"/>
      <c r="C32" s="25">
        <v>8.6</v>
      </c>
    </row>
    <row r="33" spans="1:15" ht="32.25" customHeight="1">
      <c r="A33" s="455" t="s">
        <v>439</v>
      </c>
      <c r="B33" s="456"/>
      <c r="C33" s="25">
        <f>+K14</f>
        <v>50</v>
      </c>
    </row>
    <row r="35" spans="1:15" ht="40.5" customHeight="1">
      <c r="A35" s="457" t="s">
        <v>440</v>
      </c>
      <c r="B35" s="457"/>
      <c r="C35" s="457"/>
      <c r="D35" s="457"/>
      <c r="E35" s="457"/>
      <c r="F35" s="457"/>
      <c r="G35" s="457"/>
      <c r="H35" s="457"/>
      <c r="I35" s="457"/>
      <c r="J35" s="457"/>
      <c r="K35" s="457"/>
      <c r="L35" s="457"/>
      <c r="M35" s="457"/>
      <c r="N35" s="457"/>
      <c r="O35" s="457"/>
    </row>
    <row r="36" spans="1:15">
      <c r="B36" s="166" t="s">
        <v>286</v>
      </c>
      <c r="C36" s="166" t="s">
        <v>287</v>
      </c>
      <c r="D36" s="166" t="s">
        <v>332</v>
      </c>
    </row>
    <row r="37" spans="1:15">
      <c r="A37" s="270" t="s">
        <v>441</v>
      </c>
      <c r="B37" s="232">
        <f>+B28/2</f>
        <v>2.7000000000000028</v>
      </c>
      <c r="C37" s="232">
        <f>+C41-C33</f>
        <v>-50</v>
      </c>
      <c r="D37" s="222">
        <f>+D53+($C$33+$C$56)*$C$6</f>
        <v>22.207617000000003</v>
      </c>
      <c r="F37" s="302" t="s">
        <v>442</v>
      </c>
      <c r="G37" s="302"/>
      <c r="H37" s="302"/>
      <c r="I37" s="25">
        <f>+D59+N17</f>
        <v>21.368553000000549</v>
      </c>
    </row>
    <row r="38" spans="1:15">
      <c r="A38" s="270"/>
      <c r="B38" s="223">
        <f>+C5/2</f>
        <v>0.5</v>
      </c>
      <c r="C38" s="223">
        <f>+C37</f>
        <v>-50</v>
      </c>
      <c r="D38" s="222">
        <f t="shared" ref="D38:D40" si="0">+D54+($C$33+$C$56)*$C$6</f>
        <v>20.004999999999999</v>
      </c>
      <c r="F38" s="302" t="s">
        <v>45</v>
      </c>
      <c r="G38" s="302"/>
      <c r="H38" s="302"/>
      <c r="I38" s="25">
        <f>+C3</f>
        <v>1</v>
      </c>
    </row>
    <row r="39" spans="1:15">
      <c r="A39" s="270"/>
      <c r="B39" s="223">
        <f>+-B38</f>
        <v>-0.5</v>
      </c>
      <c r="C39" s="223">
        <f>+C38</f>
        <v>-50</v>
      </c>
      <c r="D39" s="222">
        <f t="shared" si="0"/>
        <v>20.004999999999999</v>
      </c>
      <c r="F39" s="302" t="s">
        <v>443</v>
      </c>
      <c r="G39" s="302"/>
      <c r="H39" s="302"/>
      <c r="I39" s="25">
        <f>ROUNDUP((2*C33/N22+(C31+C32+D13)/((F23+J23)/2))*5,0)</f>
        <v>1704</v>
      </c>
    </row>
    <row r="40" spans="1:15">
      <c r="A40" s="270"/>
      <c r="B40" s="223">
        <f>-B37</f>
        <v>-2.7000000000000028</v>
      </c>
      <c r="C40" s="223">
        <f>+C39</f>
        <v>-50</v>
      </c>
      <c r="D40" s="222">
        <f t="shared" si="0"/>
        <v>22.207617000000003</v>
      </c>
    </row>
    <row r="41" spans="1:15">
      <c r="A41" s="323" t="s">
        <v>169</v>
      </c>
      <c r="B41" s="223">
        <f>+B40</f>
        <v>-2.7000000000000028</v>
      </c>
      <c r="C41" s="223">
        <v>0</v>
      </c>
      <c r="D41" s="233">
        <f>+B27</f>
        <v>22.200000000000003</v>
      </c>
    </row>
    <row r="42" spans="1:15">
      <c r="A42" s="323"/>
      <c r="B42" s="223">
        <f>+B39</f>
        <v>-0.5</v>
      </c>
      <c r="C42" s="223">
        <v>0</v>
      </c>
      <c r="D42" s="222">
        <f>+B26</f>
        <v>20</v>
      </c>
    </row>
    <row r="43" spans="1:15">
      <c r="A43" s="323"/>
      <c r="B43" s="223">
        <f>+B38</f>
        <v>0.5</v>
      </c>
      <c r="C43" s="223">
        <v>0</v>
      </c>
      <c r="D43" s="222">
        <f>+D42</f>
        <v>20</v>
      </c>
      <c r="F43" s="60" t="s">
        <v>213</v>
      </c>
      <c r="G43" s="60" t="s">
        <v>341</v>
      </c>
      <c r="H43" s="60" t="s">
        <v>342</v>
      </c>
      <c r="I43" s="60" t="s">
        <v>343</v>
      </c>
      <c r="J43" s="60" t="s">
        <v>344</v>
      </c>
    </row>
    <row r="44" spans="1:15">
      <c r="A44" s="323"/>
      <c r="B44" s="223">
        <f>+B37</f>
        <v>2.7000000000000028</v>
      </c>
      <c r="C44" s="223">
        <v>0</v>
      </c>
      <c r="D44" s="222">
        <f>+D41</f>
        <v>22.200000000000003</v>
      </c>
      <c r="F44" s="72">
        <f>+C37</f>
        <v>-50</v>
      </c>
      <c r="G44" s="72">
        <f>+B40</f>
        <v>-2.7000000000000028</v>
      </c>
      <c r="H44" s="72">
        <f>+B39</f>
        <v>-0.5</v>
      </c>
      <c r="I44" s="72">
        <f>+B38</f>
        <v>0.5</v>
      </c>
      <c r="J44" s="72">
        <f>+B37</f>
        <v>2.7000000000000028</v>
      </c>
    </row>
    <row r="45" spans="1:15">
      <c r="A45" s="323" t="s">
        <v>172</v>
      </c>
      <c r="B45" s="223">
        <f>-(-F18/2-0.05)</f>
        <v>0.25</v>
      </c>
      <c r="C45" s="223">
        <f>+C41+C32</f>
        <v>8.6</v>
      </c>
      <c r="D45" s="222">
        <f>+F28</f>
        <v>22.200000000000003</v>
      </c>
      <c r="F45" s="72">
        <f>+C41</f>
        <v>0</v>
      </c>
      <c r="G45" s="72">
        <f>+B41</f>
        <v>-2.7000000000000028</v>
      </c>
      <c r="H45" s="72">
        <f>+B42</f>
        <v>-0.5</v>
      </c>
      <c r="I45" s="72">
        <f>+B43</f>
        <v>0.5</v>
      </c>
      <c r="J45" s="72">
        <f>+B44</f>
        <v>2.7000000000000028</v>
      </c>
    </row>
    <row r="46" spans="1:15">
      <c r="A46" s="323"/>
      <c r="B46" s="223">
        <f>F18/2</f>
        <v>0.2</v>
      </c>
      <c r="C46" s="223">
        <f>+C45</f>
        <v>8.6</v>
      </c>
      <c r="D46" s="222">
        <f>+F27</f>
        <v>19.999140000000001</v>
      </c>
      <c r="F46" s="72">
        <f>+C45</f>
        <v>8.6</v>
      </c>
      <c r="G46" s="72">
        <f>+B48</f>
        <v>-0.25</v>
      </c>
      <c r="H46" s="72">
        <f>+B47</f>
        <v>-0.2</v>
      </c>
      <c r="I46" s="72">
        <f>+B46</f>
        <v>0.2</v>
      </c>
      <c r="J46" s="72">
        <f>+B45</f>
        <v>0.25</v>
      </c>
    </row>
    <row r="47" spans="1:15">
      <c r="A47" s="323"/>
      <c r="B47" s="223">
        <f>-F18/2</f>
        <v>-0.2</v>
      </c>
      <c r="C47" s="223">
        <f>+C46</f>
        <v>8.6</v>
      </c>
      <c r="D47" s="222">
        <f>+F27</f>
        <v>19.999140000000001</v>
      </c>
      <c r="F47" s="72">
        <f>+C49</f>
        <v>18.600000000000001</v>
      </c>
      <c r="G47" s="72">
        <f>+B49</f>
        <v>-0.25</v>
      </c>
      <c r="H47" s="72">
        <f>+B50</f>
        <v>-0.2</v>
      </c>
      <c r="I47" s="72">
        <f>+B51</f>
        <v>0.2</v>
      </c>
      <c r="J47" s="72">
        <f>+B52</f>
        <v>0.25</v>
      </c>
    </row>
    <row r="48" spans="1:15">
      <c r="A48" s="323"/>
      <c r="B48" s="223">
        <f>-B45</f>
        <v>-0.25</v>
      </c>
      <c r="C48" s="223">
        <f>+C47</f>
        <v>8.6</v>
      </c>
      <c r="D48" s="222">
        <f>+F28</f>
        <v>22.200000000000003</v>
      </c>
      <c r="F48" s="72">
        <f>+C53</f>
        <v>26.17</v>
      </c>
      <c r="G48" s="72">
        <f>+B56</f>
        <v>-2.7026170000000036</v>
      </c>
      <c r="H48" s="72">
        <f>+B55</f>
        <v>-0.5</v>
      </c>
      <c r="I48" s="72">
        <f>+B54</f>
        <v>0.5</v>
      </c>
      <c r="J48" s="72">
        <f>+B53</f>
        <v>2.7026170000000036</v>
      </c>
    </row>
    <row r="49" spans="1:10">
      <c r="A49" s="323" t="s">
        <v>173</v>
      </c>
      <c r="B49" s="223">
        <f>+B48</f>
        <v>-0.25</v>
      </c>
      <c r="C49" s="223">
        <f>+C45+$D$13</f>
        <v>18.600000000000001</v>
      </c>
      <c r="D49" s="222">
        <f>+J28</f>
        <v>22.200000000000003</v>
      </c>
      <c r="F49" s="72">
        <f>+C57</f>
        <v>76.17</v>
      </c>
      <c r="G49" s="72">
        <f>+B57</f>
        <v>-2.7026170000000036</v>
      </c>
      <c r="H49" s="72">
        <f>+B58</f>
        <v>-0.5</v>
      </c>
      <c r="I49" s="72">
        <f>+B59</f>
        <v>0.5</v>
      </c>
      <c r="J49" s="72">
        <f>+B60</f>
        <v>2.7026170000000036</v>
      </c>
    </row>
    <row r="50" spans="1:10">
      <c r="A50" s="323"/>
      <c r="B50" s="223">
        <f>+B47</f>
        <v>-0.2</v>
      </c>
      <c r="C50" s="223">
        <f t="shared" ref="C50:C52" si="1">+C46+$D$13</f>
        <v>18.600000000000001</v>
      </c>
      <c r="D50" s="222">
        <f>+J27</f>
        <v>19.998139999999999</v>
      </c>
    </row>
    <row r="51" spans="1:10">
      <c r="A51" s="323"/>
      <c r="B51" s="223">
        <f>+B46</f>
        <v>0.2</v>
      </c>
      <c r="C51" s="223">
        <f t="shared" si="1"/>
        <v>18.600000000000001</v>
      </c>
      <c r="D51" s="222">
        <f>+J27</f>
        <v>19.998139999999999</v>
      </c>
    </row>
    <row r="52" spans="1:10">
      <c r="A52" s="323"/>
      <c r="B52" s="223">
        <f>+B45</f>
        <v>0.25</v>
      </c>
      <c r="C52" s="223">
        <f t="shared" si="1"/>
        <v>18.600000000000001</v>
      </c>
      <c r="D52" s="222">
        <f>+J28</f>
        <v>22.200000000000003</v>
      </c>
    </row>
    <row r="53" spans="1:10">
      <c r="A53" s="323" t="s">
        <v>174</v>
      </c>
      <c r="B53" s="223">
        <f>+N28/2</f>
        <v>2.7026170000000036</v>
      </c>
      <c r="C53" s="223">
        <f>+C52+C31</f>
        <v>26.17</v>
      </c>
      <c r="D53" s="222">
        <f>+N27</f>
        <v>22.200000000000003</v>
      </c>
    </row>
    <row r="54" spans="1:10">
      <c r="A54" s="323"/>
      <c r="B54" s="223">
        <f>+D5/2</f>
        <v>0.5</v>
      </c>
      <c r="C54" s="223">
        <f>+C53</f>
        <v>26.17</v>
      </c>
      <c r="D54" s="222">
        <f>+N26</f>
        <v>19.997382999999999</v>
      </c>
    </row>
    <row r="55" spans="1:10">
      <c r="A55" s="323"/>
      <c r="B55" s="223">
        <f>-B54</f>
        <v>-0.5</v>
      </c>
      <c r="C55" s="223">
        <f>+C54</f>
        <v>26.17</v>
      </c>
      <c r="D55" s="222">
        <f>+N26</f>
        <v>19.997382999999999</v>
      </c>
      <c r="G55" s="60"/>
      <c r="H55" s="60"/>
      <c r="I55" s="60"/>
    </row>
    <row r="56" spans="1:10">
      <c r="A56" s="323"/>
      <c r="B56" s="223">
        <f>-B53</f>
        <v>-2.7026170000000036</v>
      </c>
      <c r="C56" s="223">
        <f>+C55</f>
        <v>26.17</v>
      </c>
      <c r="D56" s="222">
        <f>+N27</f>
        <v>22.200000000000003</v>
      </c>
      <c r="G56" s="72"/>
      <c r="H56" s="70"/>
      <c r="I56" s="72"/>
    </row>
    <row r="57" spans="1:10">
      <c r="A57" s="270" t="s">
        <v>444</v>
      </c>
      <c r="B57" s="223">
        <f>+B56</f>
        <v>-2.7026170000000036</v>
      </c>
      <c r="C57" s="223">
        <f>+C53+$C$33</f>
        <v>76.17</v>
      </c>
      <c r="D57" s="222">
        <f>+D53-$C$33*$C$6</f>
        <v>22.195000000000004</v>
      </c>
      <c r="G57" s="72"/>
      <c r="H57" s="70"/>
      <c r="I57" s="72"/>
    </row>
    <row r="58" spans="1:10">
      <c r="A58" s="270"/>
      <c r="B58" s="223">
        <f>+B55</f>
        <v>-0.5</v>
      </c>
      <c r="C58" s="223">
        <f t="shared" ref="C58:C60" si="2">+C54+$C$33</f>
        <v>76.17</v>
      </c>
      <c r="D58" s="222">
        <f t="shared" ref="D58:D60" si="3">+D54-$C$33*$C$6</f>
        <v>19.992383</v>
      </c>
      <c r="G58" s="72"/>
      <c r="H58" s="70"/>
      <c r="I58" s="72"/>
    </row>
    <row r="59" spans="1:10">
      <c r="A59" s="270"/>
      <c r="B59" s="223">
        <f>+B54</f>
        <v>0.5</v>
      </c>
      <c r="C59" s="223">
        <f t="shared" si="2"/>
        <v>76.17</v>
      </c>
      <c r="D59" s="222">
        <f t="shared" si="3"/>
        <v>19.992383</v>
      </c>
      <c r="G59" s="72"/>
      <c r="H59" s="70"/>
      <c r="I59" s="72"/>
    </row>
    <row r="60" spans="1:10">
      <c r="A60" s="270"/>
      <c r="B60" s="223">
        <f>+B53</f>
        <v>2.7026170000000036</v>
      </c>
      <c r="C60" s="223">
        <f t="shared" si="2"/>
        <v>76.17</v>
      </c>
      <c r="D60" s="222">
        <f t="shared" si="3"/>
        <v>22.195000000000004</v>
      </c>
      <c r="G60" s="72"/>
      <c r="H60" s="70"/>
      <c r="I60" s="72"/>
    </row>
    <row r="61" spans="1:10">
      <c r="G61" s="72"/>
      <c r="H61" s="70"/>
      <c r="I61" s="72"/>
    </row>
  </sheetData>
  <sheetProtection selectLockedCells="1"/>
  <mergeCells count="48">
    <mergeCell ref="H11:K13"/>
    <mergeCell ref="A53:A56"/>
    <mergeCell ref="A57:A60"/>
    <mergeCell ref="F37:H37"/>
    <mergeCell ref="F38:H38"/>
    <mergeCell ref="F39:H39"/>
    <mergeCell ref="A37:A40"/>
    <mergeCell ref="A45:A48"/>
    <mergeCell ref="A41:A44"/>
    <mergeCell ref="D18:E18"/>
    <mergeCell ref="H18:I18"/>
    <mergeCell ref="L18:M18"/>
    <mergeCell ref="A33:B33"/>
    <mergeCell ref="L27:M27"/>
    <mergeCell ref="L28:M28"/>
    <mergeCell ref="A49:A52"/>
    <mergeCell ref="A35:O35"/>
    <mergeCell ref="D19:E19"/>
    <mergeCell ref="A31:B31"/>
    <mergeCell ref="A32:B32"/>
    <mergeCell ref="L25:M25"/>
    <mergeCell ref="L24:M24"/>
    <mergeCell ref="D27:E27"/>
    <mergeCell ref="H27:I27"/>
    <mergeCell ref="L26:M26"/>
    <mergeCell ref="D28:E28"/>
    <mergeCell ref="H28:I28"/>
    <mergeCell ref="L20:M20"/>
    <mergeCell ref="L21:M21"/>
    <mergeCell ref="L22:M22"/>
    <mergeCell ref="L23:M23"/>
    <mergeCell ref="H19:I19"/>
    <mergeCell ref="A1:O1"/>
    <mergeCell ref="A15:O15"/>
    <mergeCell ref="A16:B16"/>
    <mergeCell ref="D17:E17"/>
    <mergeCell ref="D16:F16"/>
    <mergeCell ref="H16:J16"/>
    <mergeCell ref="H17:I17"/>
    <mergeCell ref="L16:N16"/>
    <mergeCell ref="A2:B2"/>
    <mergeCell ref="A10:C10"/>
    <mergeCell ref="A11:C11"/>
    <mergeCell ref="A12:C12"/>
    <mergeCell ref="L17:M17"/>
    <mergeCell ref="A13:C13"/>
    <mergeCell ref="H14:J14"/>
    <mergeCell ref="A14:C14"/>
  </mergeCells>
  <pageMargins left="0.7" right="0.7" top="0.75" bottom="0.75" header="0.3" footer="0.3"/>
  <pageSetup scale="51" orientation="landscape" r:id="rId1"/>
  <ignoredErrors>
    <ignoredError sqref="B37:D60 C3:D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PuenteCanal_Botón1_Haga_clic_en">
                <anchor moveWithCells="1" sizeWithCells="1">
                  <from>
                    <xdr:col>4</xdr:col>
                    <xdr:colOff>171450</xdr:colOff>
                    <xdr:row>1</xdr:row>
                    <xdr:rowOff>161925</xdr:rowOff>
                  </from>
                  <to>
                    <xdr:col>6</xdr:col>
                    <xdr:colOff>66675</xdr:colOff>
                    <xdr:row>4</xdr:row>
                    <xdr:rowOff>85725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R93"/>
  <sheetViews>
    <sheetView zoomScale="70" zoomScaleNormal="70" workbookViewId="0">
      <selection activeCell="B4" sqref="B4"/>
    </sheetView>
  </sheetViews>
  <sheetFormatPr baseColWidth="10" defaultColWidth="11.42578125" defaultRowHeight="14.25"/>
  <cols>
    <col min="1" max="3" width="11.42578125" style="21"/>
    <col min="4" max="4" width="20.140625" style="21" customWidth="1"/>
    <col min="5" max="5" width="13.5703125" style="21" customWidth="1"/>
    <col min="6" max="6" width="22.42578125" style="21" customWidth="1"/>
    <col min="7" max="7" width="18.28515625" style="21" customWidth="1"/>
    <col min="8" max="12" width="11.42578125" style="21"/>
    <col min="13" max="13" width="15.28515625" style="21" customWidth="1"/>
    <col min="14" max="14" width="20" style="21" customWidth="1"/>
    <col min="15" max="15" width="11.42578125" style="21"/>
    <col min="16" max="16" width="14.42578125" style="21" customWidth="1"/>
    <col min="17" max="17" width="11.42578125" style="21"/>
    <col min="18" max="18" width="17.28515625" style="21" customWidth="1"/>
    <col min="19" max="19" width="16.42578125" style="21" customWidth="1"/>
    <col min="20" max="16384" width="11.42578125" style="21"/>
  </cols>
  <sheetData>
    <row r="1" spans="1:18" ht="34.5" customHeight="1" thickBot="1">
      <c r="A1" s="163" t="s">
        <v>445</v>
      </c>
      <c r="B1" s="163"/>
      <c r="C1" s="163"/>
      <c r="D1" s="163"/>
      <c r="E1" s="163"/>
      <c r="F1" s="163"/>
      <c r="G1" s="163"/>
      <c r="H1" s="163"/>
      <c r="I1" s="163"/>
      <c r="J1" s="163"/>
      <c r="K1" s="163"/>
      <c r="L1" s="163"/>
      <c r="M1" s="163"/>
      <c r="N1" s="163"/>
      <c r="O1" s="163"/>
      <c r="P1" s="163"/>
      <c r="Q1" s="163"/>
      <c r="R1" s="163"/>
    </row>
    <row r="2" spans="1:18" ht="12.75" customHeight="1">
      <c r="A2" s="201"/>
      <c r="B2" s="202"/>
      <c r="C2" s="202"/>
      <c r="D2" s="202"/>
      <c r="E2" s="202"/>
      <c r="F2" s="202"/>
      <c r="G2" s="202"/>
      <c r="H2" s="202"/>
      <c r="I2" s="202"/>
      <c r="J2" s="202"/>
      <c r="K2" s="202"/>
      <c r="L2" s="202"/>
      <c r="M2" s="202"/>
      <c r="N2" s="202"/>
      <c r="O2" s="202"/>
      <c r="P2" s="202"/>
      <c r="Q2" s="202"/>
      <c r="R2" s="203"/>
    </row>
    <row r="3" spans="1:18" ht="45" customHeight="1">
      <c r="A3" s="480" t="s">
        <v>446</v>
      </c>
      <c r="B3" s="481"/>
      <c r="D3" s="374" t="s">
        <v>447</v>
      </c>
      <c r="E3" s="278"/>
      <c r="G3" s="294" t="s">
        <v>448</v>
      </c>
      <c r="H3" s="294"/>
      <c r="R3" s="49"/>
    </row>
    <row r="4" spans="1:18">
      <c r="A4" s="1" t="s">
        <v>449</v>
      </c>
      <c r="B4" s="234">
        <v>1.3</v>
      </c>
      <c r="D4" s="23" t="s">
        <v>449</v>
      </c>
      <c r="E4" s="24">
        <f>+B4</f>
        <v>1.3</v>
      </c>
      <c r="G4" s="24" t="s">
        <v>449</v>
      </c>
      <c r="H4" s="25">
        <f>+B4</f>
        <v>1.3</v>
      </c>
      <c r="R4" s="49"/>
    </row>
    <row r="5" spans="1:18" ht="15" customHeight="1">
      <c r="A5" s="1" t="s">
        <v>450</v>
      </c>
      <c r="B5" s="234">
        <v>1</v>
      </c>
      <c r="D5" s="23" t="s">
        <v>450</v>
      </c>
      <c r="E5" s="24">
        <f>+B5</f>
        <v>1</v>
      </c>
      <c r="G5" s="24" t="s">
        <v>450</v>
      </c>
      <c r="H5" s="25">
        <f>+B5</f>
        <v>1</v>
      </c>
      <c r="R5" s="49"/>
    </row>
    <row r="6" spans="1:18">
      <c r="A6" s="1" t="s">
        <v>451</v>
      </c>
      <c r="B6" s="234">
        <v>1.6E-2</v>
      </c>
      <c r="D6" s="23" t="s">
        <v>451</v>
      </c>
      <c r="E6" s="24">
        <f>+B6</f>
        <v>1.6E-2</v>
      </c>
      <c r="G6" s="24" t="s">
        <v>451</v>
      </c>
      <c r="H6" s="25">
        <f>+B6</f>
        <v>1.6E-2</v>
      </c>
      <c r="R6" s="49"/>
    </row>
    <row r="7" spans="1:18">
      <c r="A7" s="1" t="s">
        <v>452</v>
      </c>
      <c r="B7" s="234">
        <v>1E-4</v>
      </c>
      <c r="D7" s="23" t="s">
        <v>452</v>
      </c>
      <c r="E7" s="25">
        <f>+B7</f>
        <v>1E-4</v>
      </c>
      <c r="G7" s="24" t="s">
        <v>452</v>
      </c>
      <c r="H7" s="25">
        <f>+B7</f>
        <v>1E-4</v>
      </c>
      <c r="R7" s="49"/>
    </row>
    <row r="8" spans="1:18">
      <c r="A8" s="1" t="s">
        <v>453</v>
      </c>
      <c r="B8" s="234">
        <v>1.2363999999999999</v>
      </c>
      <c r="C8" s="26"/>
      <c r="D8" s="23" t="s">
        <v>454</v>
      </c>
      <c r="E8" s="235">
        <v>0.1</v>
      </c>
      <c r="G8" s="24" t="s">
        <v>455</v>
      </c>
      <c r="H8" s="25">
        <f>+B13</f>
        <v>1.7000000000000002</v>
      </c>
      <c r="R8" s="49"/>
    </row>
    <row r="9" spans="1:18">
      <c r="A9" s="50" t="s">
        <v>456</v>
      </c>
      <c r="B9" s="24">
        <f>+(B4+B5*B8)*B8</f>
        <v>3.1360049599999997</v>
      </c>
      <c r="C9" s="26"/>
      <c r="D9" s="23" t="s">
        <v>457</v>
      </c>
      <c r="E9" s="25">
        <f>+B8*(E8+1)</f>
        <v>1.3600400000000001</v>
      </c>
      <c r="G9" s="24" t="s">
        <v>456</v>
      </c>
      <c r="H9" s="25">
        <f>+(H4+H5*H8)*H8</f>
        <v>5.1000000000000005</v>
      </c>
      <c r="R9" s="49"/>
    </row>
    <row r="10" spans="1:18">
      <c r="A10" s="50" t="s">
        <v>458</v>
      </c>
      <c r="B10" s="24">
        <f>+B4+2*B8*SQRT(1+B5^2)</f>
        <v>4.7970672970361896</v>
      </c>
      <c r="C10" s="26"/>
      <c r="D10" s="23" t="s">
        <v>459</v>
      </c>
      <c r="E10" s="24">
        <f>+(E4+E5*E9)*E9</f>
        <v>3.6177608016000011</v>
      </c>
      <c r="G10" s="24" t="s">
        <v>458</v>
      </c>
      <c r="H10" s="25">
        <f>+H4+2*H8*SQRT(1+H5^2)</f>
        <v>6.1083261120685242</v>
      </c>
      <c r="R10" s="49"/>
    </row>
    <row r="11" spans="1:18">
      <c r="A11" s="50" t="s">
        <v>460</v>
      </c>
      <c r="B11" s="24">
        <f>+B9/B10</f>
        <v>0.65373378479337629</v>
      </c>
      <c r="C11" s="26"/>
      <c r="D11" s="23" t="s">
        <v>461</v>
      </c>
      <c r="E11" s="24">
        <f>+E4+2*E9*SQRT(1+E5^2)</f>
        <v>5.1467740267398092</v>
      </c>
      <c r="G11" s="24" t="s">
        <v>460</v>
      </c>
      <c r="H11" s="25">
        <f>+H9/H10</f>
        <v>0.83492595294211236</v>
      </c>
      <c r="R11" s="49"/>
    </row>
    <row r="12" spans="1:18">
      <c r="A12" s="50" t="s">
        <v>462</v>
      </c>
      <c r="B12" s="24">
        <f>+B9*B11^(2/3)*B7^0.5/B6</f>
        <v>1.4763547015580765</v>
      </c>
      <c r="C12" s="26"/>
      <c r="D12" s="23" t="s">
        <v>463</v>
      </c>
      <c r="E12" s="24">
        <f>+E10/E11</f>
        <v>0.70291813528320934</v>
      </c>
      <c r="G12" s="24" t="s">
        <v>464</v>
      </c>
      <c r="H12" s="25">
        <f>+H9*H11^(2/3)*H7^0.5/H6</f>
        <v>2.8262820529411461</v>
      </c>
      <c r="R12" s="49"/>
    </row>
    <row r="13" spans="1:18" ht="15" customHeight="1">
      <c r="A13" s="50" t="s">
        <v>465</v>
      </c>
      <c r="B13" s="24">
        <f>+ROUNDUP(B8*1.333,1)</f>
        <v>1.7000000000000002</v>
      </c>
      <c r="C13" s="27"/>
      <c r="D13" s="23" t="s">
        <v>466</v>
      </c>
      <c r="E13" s="24">
        <f>+E10*E12^(2/3)*E7^0.5/E6</f>
        <v>1.787542453998876</v>
      </c>
      <c r="G13" s="355" t="s">
        <v>467</v>
      </c>
      <c r="H13" s="479">
        <f>+H12-E13</f>
        <v>1.0387395989422701</v>
      </c>
      <c r="R13" s="49"/>
    </row>
    <row r="14" spans="1:18">
      <c r="A14" s="50" t="s">
        <v>468</v>
      </c>
      <c r="B14" s="24">
        <f>+B4+2*B5*B13</f>
        <v>4.7</v>
      </c>
      <c r="D14" s="24" t="s">
        <v>62</v>
      </c>
      <c r="E14" s="24">
        <f>+E9+(E13/E10)^2/(2*9.81)</f>
        <v>1.3724832558049251</v>
      </c>
      <c r="G14" s="355"/>
      <c r="H14" s="479"/>
      <c r="R14" s="49"/>
    </row>
    <row r="15" spans="1:18">
      <c r="A15" s="53"/>
      <c r="D15" s="24" t="s">
        <v>469</v>
      </c>
      <c r="E15" s="24">
        <f>+B8</f>
        <v>1.2363999999999999</v>
      </c>
      <c r="R15" s="49"/>
    </row>
    <row r="16" spans="1:18">
      <c r="A16" s="53"/>
      <c r="R16" s="49"/>
    </row>
    <row r="17" spans="1:18">
      <c r="A17" s="375" t="s">
        <v>470</v>
      </c>
      <c r="B17" s="302"/>
      <c r="C17" s="302"/>
      <c r="D17" s="302"/>
      <c r="E17" s="29">
        <v>0.18000000000000002</v>
      </c>
      <c r="R17" s="49"/>
    </row>
    <row r="18" spans="1:18">
      <c r="A18" s="375" t="s">
        <v>471</v>
      </c>
      <c r="B18" s="302"/>
      <c r="C18" s="302"/>
      <c r="D18" s="302"/>
      <c r="E18" s="29">
        <v>0.1</v>
      </c>
      <c r="R18" s="49"/>
    </row>
    <row r="19" spans="1:18">
      <c r="A19" s="375" t="s">
        <v>472</v>
      </c>
      <c r="B19" s="302"/>
      <c r="C19" s="302"/>
      <c r="D19" s="302"/>
      <c r="E19" s="29">
        <v>1</v>
      </c>
      <c r="R19" s="49"/>
    </row>
    <row r="20" spans="1:18" ht="27.75" customHeight="1">
      <c r="A20" s="475" t="s">
        <v>473</v>
      </c>
      <c r="B20" s="355"/>
      <c r="C20" s="355"/>
      <c r="D20" s="355"/>
      <c r="E20" s="40">
        <v>5</v>
      </c>
      <c r="R20" s="49"/>
    </row>
    <row r="21" spans="1:18" ht="15.75" customHeight="1">
      <c r="A21" s="475" t="s">
        <v>474</v>
      </c>
      <c r="B21" s="355"/>
      <c r="C21" s="355"/>
      <c r="D21" s="355"/>
      <c r="E21" s="29">
        <v>100</v>
      </c>
      <c r="R21" s="49"/>
    </row>
    <row r="22" spans="1:18" ht="15.75" customHeight="1">
      <c r="A22" s="476" t="s">
        <v>475</v>
      </c>
      <c r="B22" s="477"/>
      <c r="C22" s="477"/>
      <c r="D22" s="478"/>
      <c r="E22" s="29">
        <f>+Q61</f>
        <v>6.4799999999999978</v>
      </c>
      <c r="R22" s="49"/>
    </row>
    <row r="23" spans="1:18" ht="15.75" customHeight="1">
      <c r="A23" s="375" t="s">
        <v>476</v>
      </c>
      <c r="B23" s="302"/>
      <c r="C23" s="302"/>
      <c r="D23" s="302"/>
      <c r="E23" s="25">
        <f>+G62</f>
        <v>1.0545146698155823</v>
      </c>
      <c r="R23" s="49"/>
    </row>
    <row r="24" spans="1:18">
      <c r="A24" s="53"/>
      <c r="E24" s="204"/>
      <c r="R24" s="49"/>
    </row>
    <row r="25" spans="1:18" ht="46.5" customHeight="1">
      <c r="A25" s="205" t="s">
        <v>43</v>
      </c>
      <c r="B25" s="30" t="s">
        <v>477</v>
      </c>
      <c r="C25" s="30" t="s">
        <v>478</v>
      </c>
      <c r="D25" s="30" t="s">
        <v>479</v>
      </c>
      <c r="E25" s="30" t="s">
        <v>44</v>
      </c>
      <c r="F25" s="30"/>
      <c r="G25" s="30" t="s">
        <v>480</v>
      </c>
      <c r="H25" s="30" t="s">
        <v>481</v>
      </c>
      <c r="I25" s="30" t="s">
        <v>482</v>
      </c>
      <c r="J25" s="30" t="s">
        <v>150</v>
      </c>
      <c r="K25" s="30" t="s">
        <v>483</v>
      </c>
      <c r="L25" s="30" t="s">
        <v>484</v>
      </c>
      <c r="M25" s="30" t="s">
        <v>485</v>
      </c>
      <c r="N25" s="30"/>
      <c r="O25" s="30" t="s">
        <v>486</v>
      </c>
      <c r="P25" s="30" t="s">
        <v>487</v>
      </c>
      <c r="Q25" s="30" t="s">
        <v>488</v>
      </c>
      <c r="R25" s="49"/>
    </row>
    <row r="26" spans="1:18">
      <c r="A26" s="134">
        <f>+E9</f>
        <v>1.3600400000000001</v>
      </c>
      <c r="B26" s="25">
        <f>+E13</f>
        <v>1.787542453998876</v>
      </c>
      <c r="C26" s="25">
        <f t="shared" ref="C26:C37" si="0">+A26-$E$15</f>
        <v>0.12364000000000019</v>
      </c>
      <c r="D26" s="25">
        <f>+C26*(2*9.81*C26)^0.5</f>
        <v>0.1925697187481808</v>
      </c>
      <c r="E26" s="25">
        <f t="shared" ref="E26:E37" si="1">0.434+0.21*C26^2/(C26+$E$15)^2</f>
        <v>0.43573553719008262</v>
      </c>
      <c r="F26" s="31">
        <f>+E26*D26*P26</f>
        <v>1.5103704572150704E-2</v>
      </c>
      <c r="G26" s="25">
        <f>+F26*B26</f>
        <v>2.6998513135376313E-2</v>
      </c>
      <c r="H26" s="25">
        <f t="shared" ref="H26:H37" si="2">+($E$4+2*$E$5*A26)</f>
        <v>4.0200800000000001</v>
      </c>
      <c r="I26" s="25">
        <f>+H26*B26^2</f>
        <v>12.84539388453225</v>
      </c>
      <c r="J26" s="25">
        <f t="shared" ref="J26:J37" si="3">+($E$4+$E$5*A26)*A26</f>
        <v>3.6177608016000011</v>
      </c>
      <c r="K26" s="25">
        <f>+I26/J26</f>
        <v>3.5506476489134409</v>
      </c>
      <c r="L26" s="25">
        <f>9.81*J26^2</f>
        <v>128.39517546459209</v>
      </c>
      <c r="M26" s="25">
        <f>+K26-L26</f>
        <v>-124.84452781567865</v>
      </c>
      <c r="N26" s="25">
        <f>+G26/M26</f>
        <v>-2.1625708076878717E-4</v>
      </c>
      <c r="O26" s="25">
        <f>+A26+N26</f>
        <v>1.3598237429192312</v>
      </c>
      <c r="P26" s="25">
        <f>+E17</f>
        <v>0.18000000000000002</v>
      </c>
      <c r="Q26" s="25">
        <f>+P26</f>
        <v>0.18000000000000002</v>
      </c>
      <c r="R26" s="49"/>
    </row>
    <row r="27" spans="1:18">
      <c r="A27" s="134">
        <f>+O26</f>
        <v>1.3598237429192312</v>
      </c>
      <c r="B27" s="25">
        <f>+B26+F26</f>
        <v>1.8026461585710267</v>
      </c>
      <c r="C27" s="25">
        <f t="shared" si="0"/>
        <v>0.12342374291923131</v>
      </c>
      <c r="D27" s="25">
        <f t="shared" ref="D27:D37" si="4">+C27*(2*9.81*C27)^0.5</f>
        <v>0.19206470803255335</v>
      </c>
      <c r="E27" s="25">
        <f t="shared" si="1"/>
        <v>0.43573002141989781</v>
      </c>
      <c r="F27" s="31">
        <f t="shared" ref="F27:F37" si="5">+E27*D27*P27</f>
        <v>1.5063904682105561E-2</v>
      </c>
      <c r="G27" s="25">
        <f t="shared" ref="G27:G37" si="6">+F27*B27</f>
        <v>2.7154889908277694E-2</v>
      </c>
      <c r="H27" s="25">
        <f t="shared" si="2"/>
        <v>4.0196474858384628</v>
      </c>
      <c r="I27" s="25">
        <f t="shared" ref="I27:I37" si="7">+H27*B27^2</f>
        <v>13.061977849041863</v>
      </c>
      <c r="J27" s="25">
        <f t="shared" si="3"/>
        <v>3.6168914776018681</v>
      </c>
      <c r="K27" s="25">
        <f t="shared" ref="K27:K37" si="8">+I27/J27</f>
        <v>3.6113822960766395</v>
      </c>
      <c r="L27" s="25">
        <f t="shared" ref="L27:L37" si="9">9.81*J27^2</f>
        <v>128.33347785494794</v>
      </c>
      <c r="M27" s="25">
        <f t="shared" ref="M27:M37" si="10">+K27-L27</f>
        <v>-124.7220955588713</v>
      </c>
      <c r="N27" s="25">
        <f t="shared" ref="N27:N37" si="11">+G27/M27</f>
        <v>-2.177231691513718E-4</v>
      </c>
      <c r="O27" s="25">
        <f t="shared" ref="O27:O37" si="12">+A27+N27</f>
        <v>1.3596060197500799</v>
      </c>
      <c r="P27" s="25">
        <f t="shared" ref="P27:P61" si="13">+P26</f>
        <v>0.18000000000000002</v>
      </c>
      <c r="Q27" s="25">
        <f>+Q26+P27</f>
        <v>0.36000000000000004</v>
      </c>
      <c r="R27" s="49"/>
    </row>
    <row r="28" spans="1:18">
      <c r="A28" s="134">
        <f t="shared" ref="A28:A37" si="14">+O27</f>
        <v>1.3596060197500799</v>
      </c>
      <c r="B28" s="25">
        <f t="shared" ref="B28:B37" si="15">+B27+F27</f>
        <v>1.8177100632531322</v>
      </c>
      <c r="C28" s="25">
        <f t="shared" si="0"/>
        <v>0.12320601975007994</v>
      </c>
      <c r="D28" s="25">
        <f t="shared" si="4"/>
        <v>0.19155672040084562</v>
      </c>
      <c r="E28" s="25">
        <f t="shared" si="1"/>
        <v>0.43572447535629044</v>
      </c>
      <c r="F28" s="31">
        <f t="shared" si="5"/>
        <v>1.5023871269573415E-2</v>
      </c>
      <c r="G28" s="25">
        <f t="shared" si="6"/>
        <v>2.7309041995723208E-2</v>
      </c>
      <c r="H28" s="25">
        <f t="shared" si="2"/>
        <v>4.01921203950016</v>
      </c>
      <c r="I28" s="25">
        <f t="shared" si="7"/>
        <v>13.279757417138393</v>
      </c>
      <c r="J28" s="25">
        <f t="shared" si="3"/>
        <v>3.6160163546157587</v>
      </c>
      <c r="K28" s="25">
        <f t="shared" si="8"/>
        <v>3.6724826756347766</v>
      </c>
      <c r="L28" s="25">
        <f t="shared" si="9"/>
        <v>128.27138365588516</v>
      </c>
      <c r="M28" s="25">
        <f t="shared" si="10"/>
        <v>-124.59890098025038</v>
      </c>
      <c r="N28" s="25">
        <f t="shared" si="11"/>
        <v>-2.1917562499248564E-4</v>
      </c>
      <c r="O28" s="25">
        <f t="shared" si="12"/>
        <v>1.3593868441250874</v>
      </c>
      <c r="P28" s="25">
        <f t="shared" si="13"/>
        <v>0.18000000000000002</v>
      </c>
      <c r="Q28" s="25">
        <f t="shared" ref="Q28:Q37" si="16">+Q27+P28</f>
        <v>0.54</v>
      </c>
      <c r="R28" s="49"/>
    </row>
    <row r="29" spans="1:18">
      <c r="A29" s="134">
        <f t="shared" si="14"/>
        <v>1.3593868441250874</v>
      </c>
      <c r="B29" s="25">
        <f t="shared" si="15"/>
        <v>1.8327339345227056</v>
      </c>
      <c r="C29" s="25">
        <f t="shared" si="0"/>
        <v>0.12298684412508742</v>
      </c>
      <c r="D29" s="25">
        <f t="shared" si="4"/>
        <v>0.19104579707302088</v>
      </c>
      <c r="E29" s="25">
        <f t="shared" si="1"/>
        <v>0.43571889949754289</v>
      </c>
      <c r="F29" s="31">
        <f t="shared" si="5"/>
        <v>1.4983607601771762E-2</v>
      </c>
      <c r="G29" s="25">
        <f t="shared" si="6"/>
        <v>2.7460966113339483E-2</v>
      </c>
      <c r="H29" s="25">
        <f t="shared" si="2"/>
        <v>4.0187736882501746</v>
      </c>
      <c r="I29" s="25">
        <f t="shared" si="7"/>
        <v>13.498713897193333</v>
      </c>
      <c r="J29" s="25">
        <f t="shared" si="3"/>
        <v>3.6151354893429786</v>
      </c>
      <c r="K29" s="25">
        <f t="shared" si="8"/>
        <v>3.733944118273314</v>
      </c>
      <c r="L29" s="25">
        <f t="shared" si="9"/>
        <v>128.20889718787265</v>
      </c>
      <c r="M29" s="25">
        <f t="shared" si="10"/>
        <v>-124.47495306959934</v>
      </c>
      <c r="N29" s="25">
        <f t="shared" si="11"/>
        <v>-2.2061439218205503E-4</v>
      </c>
      <c r="O29" s="25">
        <f t="shared" si="12"/>
        <v>1.3591662297329052</v>
      </c>
      <c r="P29" s="25">
        <f t="shared" si="13"/>
        <v>0.18000000000000002</v>
      </c>
      <c r="Q29" s="25">
        <f t="shared" si="16"/>
        <v>0.72000000000000008</v>
      </c>
      <c r="R29" s="49"/>
    </row>
    <row r="30" spans="1:18">
      <c r="A30" s="134">
        <f t="shared" si="14"/>
        <v>1.3591662297329052</v>
      </c>
      <c r="B30" s="25">
        <f t="shared" si="15"/>
        <v>1.8477175421244774</v>
      </c>
      <c r="C30" s="25">
        <f t="shared" si="0"/>
        <v>0.1227662297329053</v>
      </c>
      <c r="D30" s="25">
        <f t="shared" si="4"/>
        <v>0.19053197936386324</v>
      </c>
      <c r="E30" s="25">
        <f t="shared" si="1"/>
        <v>0.43571329434284045</v>
      </c>
      <c r="F30" s="31">
        <f t="shared" si="5"/>
        <v>1.4943116953132371E-2</v>
      </c>
      <c r="G30" s="25">
        <f t="shared" si="6"/>
        <v>2.7610659328320353E-2</v>
      </c>
      <c r="H30" s="25">
        <f t="shared" si="2"/>
        <v>4.0183324594658103</v>
      </c>
      <c r="I30" s="25">
        <f t="shared" si="7"/>
        <v>13.718828580578856</v>
      </c>
      <c r="J30" s="25">
        <f t="shared" si="3"/>
        <v>3.6142489386991379</v>
      </c>
      <c r="K30" s="25">
        <f t="shared" si="8"/>
        <v>3.795761944808544</v>
      </c>
      <c r="L30" s="25">
        <f t="shared" si="9"/>
        <v>128.14602278460976</v>
      </c>
      <c r="M30" s="25">
        <f t="shared" si="10"/>
        <v>-124.35026083980121</v>
      </c>
      <c r="N30" s="25">
        <f t="shared" si="11"/>
        <v>-2.2203941625736353E-4</v>
      </c>
      <c r="O30" s="25">
        <f t="shared" si="12"/>
        <v>1.3589441903166479</v>
      </c>
      <c r="P30" s="25">
        <f t="shared" si="13"/>
        <v>0.18000000000000002</v>
      </c>
      <c r="Q30" s="25">
        <f t="shared" si="16"/>
        <v>0.90000000000000013</v>
      </c>
      <c r="R30" s="49"/>
    </row>
    <row r="31" spans="1:18">
      <c r="A31" s="134">
        <f t="shared" si="14"/>
        <v>1.3589441903166479</v>
      </c>
      <c r="B31" s="25">
        <f t="shared" si="15"/>
        <v>1.8626606590776098</v>
      </c>
      <c r="C31" s="25">
        <f t="shared" si="0"/>
        <v>0.12254419031664798</v>
      </c>
      <c r="D31" s="25">
        <f t="shared" si="4"/>
        <v>0.1900153086767776</v>
      </c>
      <c r="E31" s="25">
        <f t="shared" si="1"/>
        <v>0.43570766039219128</v>
      </c>
      <c r="F31" s="31">
        <f t="shared" si="5"/>
        <v>1.4902402604806589E-2</v>
      </c>
      <c r="G31" s="25">
        <f t="shared" si="6"/>
        <v>2.7758119057708929E-2</v>
      </c>
      <c r="H31" s="25">
        <f t="shared" si="2"/>
        <v>4.0178883806332957</v>
      </c>
      <c r="I31" s="25">
        <f t="shared" si="7"/>
        <v>13.940082744736664</v>
      </c>
      <c r="J31" s="25">
        <f t="shared" si="3"/>
        <v>3.613356759807012</v>
      </c>
      <c r="K31" s="25">
        <f t="shared" si="8"/>
        <v>3.8579314668837732</v>
      </c>
      <c r="L31" s="25">
        <f t="shared" si="9"/>
        <v>128.08276479243813</v>
      </c>
      <c r="M31" s="25">
        <f t="shared" si="10"/>
        <v>-124.22483332555436</v>
      </c>
      <c r="N31" s="25">
        <f t="shared" si="11"/>
        <v>-2.2345064440508123E-4</v>
      </c>
      <c r="O31" s="25">
        <f t="shared" si="12"/>
        <v>1.3587207396722429</v>
      </c>
      <c r="P31" s="25">
        <f t="shared" si="13"/>
        <v>0.18000000000000002</v>
      </c>
      <c r="Q31" s="25">
        <f t="shared" si="16"/>
        <v>1.08</v>
      </c>
      <c r="R31" s="49"/>
    </row>
    <row r="32" spans="1:18">
      <c r="A32" s="134">
        <f t="shared" si="14"/>
        <v>1.3587207396722429</v>
      </c>
      <c r="B32" s="25">
        <f t="shared" si="15"/>
        <v>1.8775630616824164</v>
      </c>
      <c r="C32" s="25">
        <f t="shared" si="0"/>
        <v>0.122320739672243</v>
      </c>
      <c r="D32" s="25">
        <f t="shared" si="4"/>
        <v>0.18949582649760299</v>
      </c>
      <c r="E32" s="25">
        <f t="shared" si="1"/>
        <v>0.43570199814634653</v>
      </c>
      <c r="F32" s="31">
        <f t="shared" si="5"/>
        <v>1.4861467844171826E-2</v>
      </c>
      <c r="G32" s="25">
        <f t="shared" si="6"/>
        <v>2.7903343066598033E-2</v>
      </c>
      <c r="H32" s="25">
        <f t="shared" si="2"/>
        <v>4.0174414793444857</v>
      </c>
      <c r="I32" s="25">
        <f t="shared" si="7"/>
        <v>14.162457656228229</v>
      </c>
      <c r="J32" s="25">
        <f t="shared" si="3"/>
        <v>3.6124590099894029</v>
      </c>
      <c r="K32" s="25">
        <f t="shared" si="8"/>
        <v>3.9204479876630556</v>
      </c>
      <c r="L32" s="25">
        <f t="shared" si="9"/>
        <v>128.019127569754</v>
      </c>
      <c r="M32" s="25">
        <f t="shared" si="10"/>
        <v>-124.09867958209095</v>
      </c>
      <c r="N32" s="25">
        <f t="shared" si="11"/>
        <v>-2.2484802546299493E-4</v>
      </c>
      <c r="O32" s="25">
        <f t="shared" si="12"/>
        <v>1.35849589164678</v>
      </c>
      <c r="P32" s="25">
        <f t="shared" si="13"/>
        <v>0.18000000000000002</v>
      </c>
      <c r="Q32" s="25">
        <f t="shared" si="16"/>
        <v>1.26</v>
      </c>
      <c r="R32" s="49"/>
    </row>
    <row r="33" spans="1:18">
      <c r="A33" s="134">
        <f t="shared" si="14"/>
        <v>1.35849589164678</v>
      </c>
      <c r="B33" s="25">
        <f t="shared" si="15"/>
        <v>1.8924245295265882</v>
      </c>
      <c r="C33" s="25">
        <f t="shared" si="0"/>
        <v>0.12209589164678003</v>
      </c>
      <c r="D33" s="25">
        <f t="shared" si="4"/>
        <v>0.18897357438844237</v>
      </c>
      <c r="E33" s="25">
        <f t="shared" si="1"/>
        <v>0.43569630810672066</v>
      </c>
      <c r="F33" s="31">
        <f t="shared" si="5"/>
        <v>1.4820315964339515E-2</v>
      </c>
      <c r="G33" s="25">
        <f t="shared" si="6"/>
        <v>2.8046329466250592E-2</v>
      </c>
      <c r="H33" s="25">
        <f t="shared" si="2"/>
        <v>4.0169917832935598</v>
      </c>
      <c r="I33" s="25">
        <f t="shared" si="7"/>
        <v>14.385934573765729</v>
      </c>
      <c r="J33" s="25">
        <f t="shared" si="3"/>
        <v>3.6115557467619936</v>
      </c>
      <c r="K33" s="25">
        <f t="shared" si="8"/>
        <v>3.9833068025223484</v>
      </c>
      <c r="L33" s="25">
        <f t="shared" si="9"/>
        <v>127.9551154864216</v>
      </c>
      <c r="M33" s="25">
        <f t="shared" si="10"/>
        <v>-123.97180868389925</v>
      </c>
      <c r="N33" s="25">
        <f t="shared" si="11"/>
        <v>-2.2623150992144141E-4</v>
      </c>
      <c r="O33" s="25">
        <f t="shared" si="12"/>
        <v>1.3582696601368585</v>
      </c>
      <c r="P33" s="25">
        <f t="shared" si="13"/>
        <v>0.18000000000000002</v>
      </c>
      <c r="Q33" s="25">
        <f t="shared" si="16"/>
        <v>1.44</v>
      </c>
      <c r="R33" s="49"/>
    </row>
    <row r="34" spans="1:18">
      <c r="A34" s="134">
        <f t="shared" si="14"/>
        <v>1.3582696601368585</v>
      </c>
      <c r="B34" s="25">
        <f t="shared" si="15"/>
        <v>1.9072448454909277</v>
      </c>
      <c r="C34" s="25">
        <f t="shared" si="0"/>
        <v>0.12186966013685852</v>
      </c>
      <c r="D34" s="25">
        <f t="shared" si="4"/>
        <v>0.18844859398150868</v>
      </c>
      <c r="E34" s="25">
        <f t="shared" si="1"/>
        <v>0.43569059077531219</v>
      </c>
      <c r="F34" s="31">
        <f t="shared" si="5"/>
        <v>1.4778950263664485E-2</v>
      </c>
      <c r="G34" s="25">
        <f t="shared" si="6"/>
        <v>2.8187076712140876E-2</v>
      </c>
      <c r="H34" s="25">
        <f t="shared" si="2"/>
        <v>4.0165393202737167</v>
      </c>
      <c r="I34" s="25">
        <f t="shared" si="7"/>
        <v>14.610494751222923</v>
      </c>
      <c r="J34" s="25">
        <f t="shared" si="3"/>
        <v>3.6106470278262135</v>
      </c>
      <c r="K34" s="25">
        <f t="shared" si="8"/>
        <v>4.0465031997379031</v>
      </c>
      <c r="L34" s="25">
        <f t="shared" si="9"/>
        <v>127.89073292318814</v>
      </c>
      <c r="M34" s="25">
        <f t="shared" si="10"/>
        <v>-123.84422972345024</v>
      </c>
      <c r="N34" s="25">
        <f t="shared" si="11"/>
        <v>-2.276010499244405E-4</v>
      </c>
      <c r="O34" s="25">
        <f t="shared" si="12"/>
        <v>1.358042059086934</v>
      </c>
      <c r="P34" s="25">
        <f t="shared" si="13"/>
        <v>0.18000000000000002</v>
      </c>
      <c r="Q34" s="25">
        <f t="shared" si="16"/>
        <v>1.6199999999999999</v>
      </c>
      <c r="R34" s="49"/>
    </row>
    <row r="35" spans="1:18">
      <c r="A35" s="134">
        <f t="shared" si="14"/>
        <v>1.358042059086934</v>
      </c>
      <c r="B35" s="25">
        <f t="shared" si="15"/>
        <v>1.922023795754592</v>
      </c>
      <c r="C35" s="25">
        <f t="shared" si="0"/>
        <v>0.12164205908693404</v>
      </c>
      <c r="D35" s="25">
        <f t="shared" si="4"/>
        <v>0.18792092697298965</v>
      </c>
      <c r="E35" s="25">
        <f t="shared" si="1"/>
        <v>0.43568484665462426</v>
      </c>
      <c r="F35" s="31">
        <f t="shared" si="5"/>
        <v>1.4737374045255932E-2</v>
      </c>
      <c r="G35" s="25">
        <f t="shared" si="6"/>
        <v>2.8325583601918013E-2</v>
      </c>
      <c r="H35" s="25">
        <f t="shared" si="2"/>
        <v>4.0160841181738682</v>
      </c>
      <c r="I35" s="25">
        <f t="shared" si="7"/>
        <v>14.836119440625316</v>
      </c>
      <c r="J35" s="25">
        <f t="shared" si="3"/>
        <v>3.6097329110620939</v>
      </c>
      <c r="K35" s="25">
        <f t="shared" si="8"/>
        <v>4.1100324611717811</v>
      </c>
      <c r="L35" s="25">
        <f t="shared" si="9"/>
        <v>127.82598427109927</v>
      </c>
      <c r="M35" s="25">
        <f t="shared" si="10"/>
        <v>-123.71595180992749</v>
      </c>
      <c r="N35" s="25">
        <f t="shared" si="11"/>
        <v>-2.2895659927053198E-4</v>
      </c>
      <c r="O35" s="25">
        <f t="shared" si="12"/>
        <v>1.3578131024876634</v>
      </c>
      <c r="P35" s="25">
        <f t="shared" si="13"/>
        <v>0.18000000000000002</v>
      </c>
      <c r="Q35" s="25">
        <f t="shared" si="16"/>
        <v>1.7999999999999998</v>
      </c>
      <c r="R35" s="49"/>
    </row>
    <row r="36" spans="1:18">
      <c r="A36" s="134">
        <f t="shared" si="14"/>
        <v>1.3578131024876634</v>
      </c>
      <c r="B36" s="25">
        <f t="shared" si="15"/>
        <v>1.9367611697998479</v>
      </c>
      <c r="C36" s="25">
        <f t="shared" si="0"/>
        <v>0.12141310248766346</v>
      </c>
      <c r="D36" s="25">
        <f t="shared" si="4"/>
        <v>0.18739061511693034</v>
      </c>
      <c r="E36" s="25">
        <f t="shared" si="1"/>
        <v>0.43567907624758606</v>
      </c>
      <c r="F36" s="31">
        <f t="shared" si="5"/>
        <v>1.4695590616490008E-2</v>
      </c>
      <c r="G36" s="25">
        <f t="shared" si="6"/>
        <v>2.8461849273292854E-2</v>
      </c>
      <c r="H36" s="25">
        <f t="shared" si="2"/>
        <v>4.0156262049753266</v>
      </c>
      <c r="I36" s="25">
        <f t="shared" si="7"/>
        <v>15.062789895118859</v>
      </c>
      <c r="J36" s="25">
        <f t="shared" si="3"/>
        <v>3.6088134545211368</v>
      </c>
      <c r="K36" s="25">
        <f t="shared" si="8"/>
        <v>4.1738898629542991</v>
      </c>
      <c r="L36" s="25">
        <f t="shared" si="9"/>
        <v>127.76087393091659</v>
      </c>
      <c r="M36" s="25">
        <f t="shared" si="10"/>
        <v>-123.58698406796229</v>
      </c>
      <c r="N36" s="25">
        <f t="shared" si="11"/>
        <v>-2.3029811341331274E-4</v>
      </c>
      <c r="O36" s="25">
        <f t="shared" si="12"/>
        <v>1.3575828043742502</v>
      </c>
      <c r="P36" s="25">
        <f t="shared" si="13"/>
        <v>0.18000000000000002</v>
      </c>
      <c r="Q36" s="25">
        <f t="shared" si="16"/>
        <v>1.9799999999999998</v>
      </c>
      <c r="R36" s="49"/>
    </row>
    <row r="37" spans="1:18">
      <c r="A37" s="134">
        <f t="shared" si="14"/>
        <v>1.3575828043742502</v>
      </c>
      <c r="B37" s="25">
        <f t="shared" si="15"/>
        <v>1.951456760416338</v>
      </c>
      <c r="C37" s="25">
        <f t="shared" si="0"/>
        <v>0.12118280437425022</v>
      </c>
      <c r="D37" s="25">
        <f t="shared" si="4"/>
        <v>0.18685770021913853</v>
      </c>
      <c r="E37" s="25">
        <f t="shared" si="1"/>
        <v>0.43567328005747386</v>
      </c>
      <c r="F37" s="31">
        <f t="shared" si="5"/>
        <v>1.4653603288524282E-2</v>
      </c>
      <c r="G37" s="25">
        <f t="shared" si="6"/>
        <v>2.8595873201849791E-2</v>
      </c>
      <c r="H37" s="25">
        <f t="shared" si="2"/>
        <v>4.0151656087485001</v>
      </c>
      <c r="I37" s="25">
        <f t="shared" si="7"/>
        <v>15.290487371916603</v>
      </c>
      <c r="J37" s="25">
        <f t="shared" si="3"/>
        <v>3.6078887164191791</v>
      </c>
      <c r="K37" s="25">
        <f t="shared" si="8"/>
        <v>4.2380706761633089</v>
      </c>
      <c r="L37" s="25">
        <f t="shared" si="9"/>
        <v>127.69540631253601</v>
      </c>
      <c r="M37" s="25">
        <f t="shared" si="10"/>
        <v>-123.4573356363727</v>
      </c>
      <c r="N37" s="25">
        <f t="shared" si="11"/>
        <v>-2.3162554946167931E-4</v>
      </c>
      <c r="O37" s="25">
        <f t="shared" si="12"/>
        <v>1.3573511788247885</v>
      </c>
      <c r="P37" s="25">
        <f t="shared" si="13"/>
        <v>0.18000000000000002</v>
      </c>
      <c r="Q37" s="25">
        <f t="shared" si="16"/>
        <v>2.1599999999999997</v>
      </c>
      <c r="R37" s="49"/>
    </row>
    <row r="38" spans="1:18">
      <c r="A38" s="134">
        <f t="shared" ref="A38:A61" si="17">+O37</f>
        <v>1.3573511788247885</v>
      </c>
      <c r="B38" s="25">
        <f t="shared" ref="B38:B61" si="18">+B37+F37</f>
        <v>1.9661103637048623</v>
      </c>
      <c r="C38" s="25">
        <f t="shared" ref="C38:C61" si="19">+A38-$E$15</f>
        <v>0.12095117882478856</v>
      </c>
      <c r="D38" s="25">
        <f t="shared" ref="D38:D61" si="20">+C38*(2*9.81*C38)^0.5</f>
        <v>0.18632222413110988</v>
      </c>
      <c r="E38" s="25">
        <f t="shared" ref="E38:E61" si="21">0.434+0.21*C38^2/(C38+$E$15)^2</f>
        <v>0.43566745858783307</v>
      </c>
      <c r="F38" s="31">
        <f t="shared" ref="F38:F61" si="22">+E38*D38*P38</f>
        <v>1.461141537581399E-2</v>
      </c>
      <c r="G38" s="25">
        <f t="shared" ref="G38:G61" si="23">+F38*B38</f>
        <v>2.8727655198784462E-2</v>
      </c>
      <c r="H38" s="25">
        <f t="shared" ref="H38:H61" si="24">+($E$4+2*$E$5*A38)</f>
        <v>4.0147023576495773</v>
      </c>
      <c r="I38" s="25">
        <f t="shared" ref="I38:I61" si="25">+H38*B38^2</f>
        <v>15.519193135222539</v>
      </c>
      <c r="J38" s="25">
        <f t="shared" ref="J38:J61" si="26">+($E$4+$E$5*A38)*A38</f>
        <v>3.6069587551292681</v>
      </c>
      <c r="K38" s="25">
        <f t="shared" ref="K38:K61" si="27">+I38/J38</f>
        <v>4.3025701675001145</v>
      </c>
      <c r="L38" s="25">
        <f t="shared" ref="L38:L61" si="28">9.81*J38^2</f>
        <v>127.6295858344081</v>
      </c>
      <c r="M38" s="25">
        <f t="shared" ref="M38:M61" si="29">+K38-L38</f>
        <v>-123.32701566690798</v>
      </c>
      <c r="N38" s="25">
        <f t="shared" ref="N38:N61" si="30">+G38/M38</f>
        <v>-2.3293886617977152E-4</v>
      </c>
      <c r="O38" s="25">
        <f t="shared" ref="O38:O61" si="31">+A38+N38</f>
        <v>1.3571182399586088</v>
      </c>
      <c r="P38" s="25">
        <f t="shared" si="13"/>
        <v>0.18000000000000002</v>
      </c>
      <c r="Q38" s="25">
        <f t="shared" ref="Q38:Q61" si="32">+Q37+P38</f>
        <v>2.34</v>
      </c>
      <c r="R38" s="49"/>
    </row>
    <row r="39" spans="1:18">
      <c r="A39" s="134">
        <f t="shared" si="17"/>
        <v>1.3571182399586088</v>
      </c>
      <c r="B39" s="25">
        <f t="shared" si="18"/>
        <v>1.9807217790806761</v>
      </c>
      <c r="C39" s="25">
        <f t="shared" si="19"/>
        <v>0.12071823995860886</v>
      </c>
      <c r="D39" s="25">
        <f t="shared" si="20"/>
        <v>0.18578422874397926</v>
      </c>
      <c r="E39" s="25">
        <f t="shared" si="21"/>
        <v>0.43566161234240014</v>
      </c>
      <c r="F39" s="31">
        <f t="shared" si="22"/>
        <v>1.4569030195630434E-2</v>
      </c>
      <c r="G39" s="25">
        <f t="shared" si="23"/>
        <v>2.8857195408569205E-2</v>
      </c>
      <c r="H39" s="25">
        <f t="shared" si="24"/>
        <v>4.0142364799172174</v>
      </c>
      <c r="I39" s="25">
        <f t="shared" si="25"/>
        <v>15.748888459132056</v>
      </c>
      <c r="J39" s="25">
        <f t="shared" si="26"/>
        <v>3.606023629174544</v>
      </c>
      <c r="K39" s="25">
        <f t="shared" si="27"/>
        <v>4.3673835999619168</v>
      </c>
      <c r="L39" s="25">
        <f t="shared" si="28"/>
        <v>127.56341692296012</v>
      </c>
      <c r="M39" s="25">
        <f t="shared" si="29"/>
        <v>-123.1960333229982</v>
      </c>
      <c r="N39" s="25">
        <f t="shared" si="30"/>
        <v>-2.3423802398662256E-4</v>
      </c>
      <c r="O39" s="25">
        <f t="shared" si="31"/>
        <v>1.3568840019346222</v>
      </c>
      <c r="P39" s="25">
        <f t="shared" si="13"/>
        <v>0.18000000000000002</v>
      </c>
      <c r="Q39" s="25">
        <f t="shared" si="32"/>
        <v>2.52</v>
      </c>
      <c r="R39" s="49"/>
    </row>
    <row r="40" spans="1:18">
      <c r="A40" s="134">
        <f t="shared" si="17"/>
        <v>1.3568840019346222</v>
      </c>
      <c r="B40" s="25">
        <f t="shared" si="18"/>
        <v>1.9952908092763066</v>
      </c>
      <c r="C40" s="25">
        <f t="shared" si="19"/>
        <v>0.12048400193462228</v>
      </c>
      <c r="D40" s="25">
        <f t="shared" si="20"/>
        <v>0.18524375598249421</v>
      </c>
      <c r="E40" s="25">
        <f t="shared" si="21"/>
        <v>0.43565574182502476</v>
      </c>
      <c r="F40" s="31">
        <f t="shared" si="22"/>
        <v>1.4526451067581329E-2</v>
      </c>
      <c r="G40" s="25">
        <f t="shared" si="23"/>
        <v>2.8984494306547016E-2</v>
      </c>
      <c r="H40" s="25">
        <f t="shared" si="24"/>
        <v>4.0137680038692443</v>
      </c>
      <c r="I40" s="25">
        <f t="shared" si="25"/>
        <v>15.979554630508378</v>
      </c>
      <c r="J40" s="25">
        <f t="shared" si="26"/>
        <v>3.6050833972211245</v>
      </c>
      <c r="K40" s="25">
        <f t="shared" si="27"/>
        <v>4.4325062335106482</v>
      </c>
      <c r="L40" s="25">
        <f t="shared" si="28"/>
        <v>127.49690401201936</v>
      </c>
      <c r="M40" s="25">
        <f t="shared" si="29"/>
        <v>-123.06439777850871</v>
      </c>
      <c r="N40" s="25">
        <f t="shared" si="30"/>
        <v>-2.3552298495551336E-4</v>
      </c>
      <c r="O40" s="25">
        <f t="shared" si="31"/>
        <v>1.3566484789496667</v>
      </c>
      <c r="P40" s="25">
        <f t="shared" si="13"/>
        <v>0.18000000000000002</v>
      </c>
      <c r="Q40" s="25">
        <f t="shared" si="32"/>
        <v>2.7</v>
      </c>
      <c r="R40" s="49"/>
    </row>
    <row r="41" spans="1:18">
      <c r="A41" s="134">
        <f t="shared" si="17"/>
        <v>1.3566484789496667</v>
      </c>
      <c r="B41" s="25">
        <f t="shared" si="18"/>
        <v>2.0098172603438882</v>
      </c>
      <c r="C41" s="25">
        <f t="shared" si="19"/>
        <v>0.12024847894966673</v>
      </c>
      <c r="D41" s="25">
        <f t="shared" si="20"/>
        <v>0.18470084779901597</v>
      </c>
      <c r="E41" s="25">
        <f t="shared" si="21"/>
        <v>0.43564984753959296</v>
      </c>
      <c r="F41" s="31">
        <f t="shared" si="22"/>
        <v>1.4483681313133479E-2</v>
      </c>
      <c r="G41" s="25">
        <f t="shared" si="23"/>
        <v>2.9109552696455897E-2</v>
      </c>
      <c r="H41" s="25">
        <f t="shared" si="24"/>
        <v>4.0132969578993336</v>
      </c>
      <c r="I41" s="25">
        <f t="shared" si="25"/>
        <v>16.211172951834296</v>
      </c>
      <c r="J41" s="25">
        <f t="shared" si="26"/>
        <v>3.604138118071011</v>
      </c>
      <c r="K41" s="25">
        <f t="shared" si="27"/>
        <v>4.4979333257380159</v>
      </c>
      <c r="L41" s="25">
        <f t="shared" si="28"/>
        <v>127.43005154223934</v>
      </c>
      <c r="M41" s="25">
        <f t="shared" si="29"/>
        <v>-122.93211821650132</v>
      </c>
      <c r="N41" s="25">
        <f t="shared" si="30"/>
        <v>-2.3679371281303186E-4</v>
      </c>
      <c r="O41" s="25">
        <f t="shared" si="31"/>
        <v>1.3564116852368537</v>
      </c>
      <c r="P41" s="25">
        <f t="shared" si="13"/>
        <v>0.18000000000000002</v>
      </c>
      <c r="Q41" s="25">
        <f t="shared" si="32"/>
        <v>2.8800000000000003</v>
      </c>
      <c r="R41" s="49"/>
    </row>
    <row r="42" spans="1:18">
      <c r="A42" s="134">
        <f t="shared" si="17"/>
        <v>1.3564116852368537</v>
      </c>
      <c r="B42" s="25">
        <f t="shared" si="18"/>
        <v>2.0243009416570215</v>
      </c>
      <c r="C42" s="25">
        <f t="shared" si="19"/>
        <v>0.12001168523685379</v>
      </c>
      <c r="D42" s="25">
        <f t="shared" si="20"/>
        <v>0.18415554616754756</v>
      </c>
      <c r="E42" s="25">
        <f t="shared" si="21"/>
        <v>0.43564392998994994</v>
      </c>
      <c r="F42" s="31">
        <f t="shared" si="22"/>
        <v>1.4440724255137698E-2</v>
      </c>
      <c r="G42" s="25">
        <f t="shared" si="23"/>
        <v>2.9232371707884633E-2</v>
      </c>
      <c r="H42" s="25">
        <f t="shared" si="24"/>
        <v>4.0128233704737077</v>
      </c>
      <c r="I42" s="25">
        <f t="shared" si="25"/>
        <v>16.443724744038654</v>
      </c>
      <c r="J42" s="25">
        <f t="shared" si="26"/>
        <v>3.6031878506549915</v>
      </c>
      <c r="K42" s="25">
        <f t="shared" si="27"/>
        <v>4.5636601325266728</v>
      </c>
      <c r="L42" s="25">
        <f t="shared" si="28"/>
        <v>127.36286396052691</v>
      </c>
      <c r="M42" s="25">
        <f t="shared" si="29"/>
        <v>-122.79920382800023</v>
      </c>
      <c r="N42" s="25">
        <f t="shared" si="30"/>
        <v>-2.3805017293784093E-4</v>
      </c>
      <c r="O42" s="25">
        <f t="shared" si="31"/>
        <v>1.356173635063916</v>
      </c>
      <c r="P42" s="25">
        <f t="shared" si="13"/>
        <v>0.18000000000000002</v>
      </c>
      <c r="Q42" s="25">
        <f t="shared" si="32"/>
        <v>3.0600000000000005</v>
      </c>
      <c r="R42" s="49"/>
    </row>
    <row r="43" spans="1:18">
      <c r="A43" s="134">
        <f t="shared" si="17"/>
        <v>1.356173635063916</v>
      </c>
      <c r="B43" s="25">
        <f t="shared" si="18"/>
        <v>2.0387416659121591</v>
      </c>
      <c r="C43" s="25">
        <f t="shared" si="19"/>
        <v>0.11977363506391603</v>
      </c>
      <c r="D43" s="25">
        <f t="shared" si="20"/>
        <v>0.18360789307778885</v>
      </c>
      <c r="E43" s="25">
        <f t="shared" si="21"/>
        <v>0.4356379896798237</v>
      </c>
      <c r="F43" s="31">
        <f t="shared" si="22"/>
        <v>1.4397583217356074E-2</v>
      </c>
      <c r="G43" s="25">
        <f t="shared" si="23"/>
        <v>2.9352952793661468E-2</v>
      </c>
      <c r="H43" s="25">
        <f t="shared" si="24"/>
        <v>4.0123472701278322</v>
      </c>
      <c r="I43" s="25">
        <f t="shared" si="25"/>
        <v>16.677191349297008</v>
      </c>
      <c r="J43" s="25">
        <f t="shared" si="26"/>
        <v>3.6022326540255665</v>
      </c>
      <c r="K43" s="25">
        <f t="shared" si="27"/>
        <v>4.6296819087073446</v>
      </c>
      <c r="L43" s="25">
        <f t="shared" si="28"/>
        <v>127.29534571947245</v>
      </c>
      <c r="M43" s="25">
        <f t="shared" si="29"/>
        <v>-122.66566381076511</v>
      </c>
      <c r="N43" s="25">
        <f t="shared" si="30"/>
        <v>-2.3929233235915086E-4</v>
      </c>
      <c r="O43" s="25">
        <f t="shared" si="31"/>
        <v>1.3559343427315569</v>
      </c>
      <c r="P43" s="25">
        <f t="shared" si="13"/>
        <v>0.18000000000000002</v>
      </c>
      <c r="Q43" s="25">
        <f t="shared" si="32"/>
        <v>3.2400000000000007</v>
      </c>
      <c r="R43" s="49"/>
    </row>
    <row r="44" spans="1:18">
      <c r="A44" s="134">
        <f t="shared" si="17"/>
        <v>1.3559343427315569</v>
      </c>
      <c r="B44" s="25">
        <f t="shared" si="18"/>
        <v>2.0531392491295151</v>
      </c>
      <c r="C44" s="25">
        <f t="shared" si="19"/>
        <v>0.11953434273155694</v>
      </c>
      <c r="D44" s="25">
        <f t="shared" si="20"/>
        <v>0.18305793052922351</v>
      </c>
      <c r="E44" s="25">
        <f t="shared" si="21"/>
        <v>0.43563202711274901</v>
      </c>
      <c r="F44" s="31">
        <f t="shared" si="22"/>
        <v>1.4354261523991878E-2</v>
      </c>
      <c r="G44" s="25">
        <f t="shared" si="23"/>
        <v>2.9471297727177371E-2</v>
      </c>
      <c r="H44" s="25">
        <f t="shared" si="24"/>
        <v>4.0118686854631136</v>
      </c>
      <c r="I44" s="25">
        <f t="shared" si="25"/>
        <v>16.911554133805787</v>
      </c>
      <c r="J44" s="25">
        <f t="shared" si="26"/>
        <v>3.6012725873498836</v>
      </c>
      <c r="K44" s="25">
        <f t="shared" si="27"/>
        <v>4.6959939087117863</v>
      </c>
      <c r="L44" s="25">
        <f t="shared" si="28"/>
        <v>127.22750127678168</v>
      </c>
      <c r="M44" s="25">
        <f t="shared" si="29"/>
        <v>-122.5315073680699</v>
      </c>
      <c r="N44" s="25">
        <f t="shared" si="30"/>
        <v>-2.4052015975490403E-4</v>
      </c>
      <c r="O44" s="25">
        <f t="shared" si="31"/>
        <v>1.355693822571802</v>
      </c>
      <c r="P44" s="25">
        <f t="shared" si="13"/>
        <v>0.18000000000000002</v>
      </c>
      <c r="Q44" s="25">
        <f t="shared" si="32"/>
        <v>3.4200000000000008</v>
      </c>
      <c r="R44" s="49"/>
    </row>
    <row r="45" spans="1:18">
      <c r="A45" s="134">
        <f t="shared" si="17"/>
        <v>1.355693822571802</v>
      </c>
      <c r="B45" s="25">
        <f t="shared" si="18"/>
        <v>2.0674935106535068</v>
      </c>
      <c r="C45" s="25">
        <f t="shared" si="19"/>
        <v>0.1192938225718021</v>
      </c>
      <c r="D45" s="25">
        <f t="shared" si="20"/>
        <v>0.1825057005252356</v>
      </c>
      <c r="E45" s="25">
        <f t="shared" si="21"/>
        <v>0.43562604279199157</v>
      </c>
      <c r="F45" s="31">
        <f t="shared" si="22"/>
        <v>1.4310762499221964E-2</v>
      </c>
      <c r="G45" s="25">
        <f t="shared" si="23"/>
        <v>2.9587408599644972E-2</v>
      </c>
      <c r="H45" s="25">
        <f t="shared" si="24"/>
        <v>4.0113876451436044</v>
      </c>
      <c r="I45" s="25">
        <f t="shared" si="25"/>
        <v>17.146794490529526</v>
      </c>
      <c r="J45" s="25">
        <f t="shared" si="26"/>
        <v>3.6003077099026872</v>
      </c>
      <c r="K45" s="25">
        <f t="shared" si="27"/>
        <v>4.7625913872214518</v>
      </c>
      <c r="L45" s="25">
        <f t="shared" si="28"/>
        <v>127.15933509471024</v>
      </c>
      <c r="M45" s="25">
        <f t="shared" si="29"/>
        <v>-122.3967437074888</v>
      </c>
      <c r="N45" s="25">
        <f t="shared" si="30"/>
        <v>-2.4173362544966691E-4</v>
      </c>
      <c r="O45" s="25">
        <f t="shared" si="31"/>
        <v>1.3554520889463524</v>
      </c>
      <c r="P45" s="25">
        <f t="shared" si="13"/>
        <v>0.18000000000000002</v>
      </c>
      <c r="Q45" s="25">
        <f t="shared" si="32"/>
        <v>3.600000000000001</v>
      </c>
      <c r="R45" s="49"/>
    </row>
    <row r="46" spans="1:18">
      <c r="A46" s="134">
        <f t="shared" si="17"/>
        <v>1.3554520889463524</v>
      </c>
      <c r="B46" s="25">
        <f t="shared" si="18"/>
        <v>2.0818042731527289</v>
      </c>
      <c r="C46" s="25">
        <f t="shared" si="19"/>
        <v>0.11905208894635244</v>
      </c>
      <c r="D46" s="25">
        <f t="shared" si="20"/>
        <v>0.1819512450672586</v>
      </c>
      <c r="E46" s="25">
        <f t="shared" si="21"/>
        <v>0.43562003722047316</v>
      </c>
      <c r="F46" s="31">
        <f t="shared" si="22"/>
        <v>1.4267089466731914E-2</v>
      </c>
      <c r="G46" s="25">
        <f t="shared" si="23"/>
        <v>2.9701287817294787E-2</v>
      </c>
      <c r="H46" s="25">
        <f t="shared" si="24"/>
        <v>4.010904177892705</v>
      </c>
      <c r="I46" s="25">
        <f t="shared" si="25"/>
        <v>17.382893841920488</v>
      </c>
      <c r="J46" s="25">
        <f t="shared" si="26"/>
        <v>3.5993380810592885</v>
      </c>
      <c r="K46" s="25">
        <f t="shared" si="27"/>
        <v>4.8294695998117207</v>
      </c>
      <c r="L46" s="25">
        <f t="shared" si="28"/>
        <v>127.09085163950056</v>
      </c>
      <c r="M46" s="25">
        <f t="shared" si="29"/>
        <v>-122.26138203968884</v>
      </c>
      <c r="N46" s="25">
        <f t="shared" si="30"/>
        <v>-2.4293270141223392E-4</v>
      </c>
      <c r="O46" s="25">
        <f t="shared" si="31"/>
        <v>1.3552091562449402</v>
      </c>
      <c r="P46" s="25">
        <f t="shared" si="13"/>
        <v>0.18000000000000002</v>
      </c>
      <c r="Q46" s="25">
        <f t="shared" si="32"/>
        <v>3.7800000000000011</v>
      </c>
      <c r="R46" s="49"/>
    </row>
    <row r="47" spans="1:18">
      <c r="A47" s="134">
        <f t="shared" si="17"/>
        <v>1.3552091562449402</v>
      </c>
      <c r="B47" s="25">
        <f t="shared" si="18"/>
        <v>2.0960713626194609</v>
      </c>
      <c r="C47" s="25">
        <f t="shared" si="19"/>
        <v>0.11880915624494026</v>
      </c>
      <c r="D47" s="25">
        <f t="shared" si="20"/>
        <v>0.18139460614895808</v>
      </c>
      <c r="E47" s="25">
        <f t="shared" si="21"/>
        <v>0.43561401090069662</v>
      </c>
      <c r="F47" s="31">
        <f t="shared" si="22"/>
        <v>1.4223245749253965E-2</v>
      </c>
      <c r="G47" s="25">
        <f t="shared" si="23"/>
        <v>2.9812938098510215E-2</v>
      </c>
      <c r="H47" s="25">
        <f t="shared" si="24"/>
        <v>4.0104183124898807</v>
      </c>
      <c r="I47" s="25">
        <f t="shared" si="25"/>
        <v>17.619833642610285</v>
      </c>
      <c r="J47" s="25">
        <f t="shared" si="26"/>
        <v>3.598363760288545</v>
      </c>
      <c r="K47" s="25">
        <f t="shared" si="27"/>
        <v>4.8966238035916048</v>
      </c>
      <c r="L47" s="25">
        <f t="shared" si="28"/>
        <v>127.02205538082117</v>
      </c>
      <c r="M47" s="25">
        <f t="shared" si="29"/>
        <v>-122.12543157722956</v>
      </c>
      <c r="N47" s="25">
        <f t="shared" si="30"/>
        <v>-2.4411736125294376E-4</v>
      </c>
      <c r="O47" s="25">
        <f t="shared" si="31"/>
        <v>1.3549650388836874</v>
      </c>
      <c r="P47" s="25">
        <f t="shared" si="13"/>
        <v>0.18000000000000002</v>
      </c>
      <c r="Q47" s="25">
        <f t="shared" si="32"/>
        <v>3.9600000000000013</v>
      </c>
      <c r="R47" s="49"/>
    </row>
    <row r="48" spans="1:18">
      <c r="A48" s="134">
        <f t="shared" si="17"/>
        <v>1.3549650388836874</v>
      </c>
      <c r="B48" s="25">
        <f t="shared" si="18"/>
        <v>2.1102946083687151</v>
      </c>
      <c r="C48" s="25">
        <f t="shared" si="19"/>
        <v>0.11856503888368741</v>
      </c>
      <c r="D48" s="25">
        <f t="shared" si="20"/>
        <v>0.1808358257504484</v>
      </c>
      <c r="E48" s="25">
        <f t="shared" si="21"/>
        <v>0.4356079643346718</v>
      </c>
      <c r="F48" s="31">
        <f t="shared" si="22"/>
        <v>1.4179234668107806E-2</v>
      </c>
      <c r="G48" s="25">
        <f t="shared" si="23"/>
        <v>2.9922362470902669E-2</v>
      </c>
      <c r="H48" s="25">
        <f t="shared" si="24"/>
        <v>4.0099300777673745</v>
      </c>
      <c r="I48" s="25">
        <f t="shared" si="25"/>
        <v>17.857595382072809</v>
      </c>
      <c r="J48" s="25">
        <f t="shared" si="26"/>
        <v>3.5973848071458656</v>
      </c>
      <c r="K48" s="25">
        <f t="shared" si="27"/>
        <v>4.9640492578387443</v>
      </c>
      <c r="L48" s="25">
        <f t="shared" si="28"/>
        <v>126.95295079120903</v>
      </c>
      <c r="M48" s="25">
        <f t="shared" si="29"/>
        <v>-121.9889015333703</v>
      </c>
      <c r="N48" s="25">
        <f t="shared" si="30"/>
        <v>-2.4528758022070846E-4</v>
      </c>
      <c r="O48" s="25">
        <f t="shared" si="31"/>
        <v>1.3547197513034666</v>
      </c>
      <c r="P48" s="25">
        <f t="shared" si="13"/>
        <v>0.18000000000000002</v>
      </c>
      <c r="Q48" s="25">
        <f t="shared" si="32"/>
        <v>4.1400000000000015</v>
      </c>
      <c r="R48" s="49"/>
    </row>
    <row r="49" spans="1:18">
      <c r="A49" s="134">
        <f t="shared" si="17"/>
        <v>1.3547197513034666</v>
      </c>
      <c r="B49" s="25">
        <f t="shared" si="18"/>
        <v>2.1244738430368231</v>
      </c>
      <c r="C49" s="25">
        <f t="shared" si="19"/>
        <v>0.11831975130346661</v>
      </c>
      <c r="D49" s="25">
        <f t="shared" si="20"/>
        <v>0.18027494583254475</v>
      </c>
      <c r="E49" s="25">
        <f t="shared" si="21"/>
        <v>0.43560189802384164</v>
      </c>
      <c r="F49" s="31">
        <f t="shared" si="22"/>
        <v>1.4135059542744315E-2</v>
      </c>
      <c r="G49" s="25">
        <f t="shared" si="23"/>
        <v>3.0029564268328333E-2</v>
      </c>
      <c r="H49" s="25">
        <f t="shared" si="24"/>
        <v>4.0094395026069334</v>
      </c>
      <c r="I49" s="25">
        <f t="shared" si="25"/>
        <v>18.096160587258161</v>
      </c>
      <c r="J49" s="25">
        <f t="shared" si="26"/>
        <v>3.5964012812662327</v>
      </c>
      <c r="K49" s="25">
        <f t="shared" si="27"/>
        <v>5.0317412246296405</v>
      </c>
      <c r="L49" s="25">
        <f t="shared" si="28"/>
        <v>126.88354234551427</v>
      </c>
      <c r="M49" s="25">
        <f t="shared" si="29"/>
        <v>-121.85180112088463</v>
      </c>
      <c r="N49" s="25">
        <f t="shared" si="30"/>
        <v>-2.4644333519975733E-4</v>
      </c>
      <c r="O49" s="25">
        <f t="shared" si="31"/>
        <v>1.3544733079682667</v>
      </c>
      <c r="P49" s="25">
        <f t="shared" si="13"/>
        <v>0.18000000000000002</v>
      </c>
      <c r="Q49" s="25">
        <f t="shared" si="32"/>
        <v>4.3200000000000012</v>
      </c>
      <c r="R49" s="49"/>
    </row>
    <row r="50" spans="1:18">
      <c r="A50" s="134">
        <f t="shared" si="17"/>
        <v>1.3544733079682667</v>
      </c>
      <c r="B50" s="25">
        <f t="shared" si="18"/>
        <v>2.1386089025795676</v>
      </c>
      <c r="C50" s="25">
        <f t="shared" si="19"/>
        <v>0.11807330796826676</v>
      </c>
      <c r="D50" s="25">
        <f t="shared" si="20"/>
        <v>0.17971200833105438</v>
      </c>
      <c r="E50" s="25">
        <f t="shared" si="21"/>
        <v>0.43559581246900902</v>
      </c>
      <c r="F50" s="31">
        <f t="shared" si="22"/>
        <v>1.4090723690292534E-2</v>
      </c>
      <c r="G50" s="25">
        <f t="shared" si="23"/>
        <v>3.0134547127848431E-2</v>
      </c>
      <c r="H50" s="25">
        <f t="shared" si="24"/>
        <v>4.0089466159365337</v>
      </c>
      <c r="I50" s="25">
        <f t="shared" si="25"/>
        <v>18.33551082519692</v>
      </c>
      <c r="J50" s="25">
        <f t="shared" si="26"/>
        <v>3.595413242357246</v>
      </c>
      <c r="K50" s="25">
        <f t="shared" si="27"/>
        <v>5.0996949694649523</v>
      </c>
      <c r="L50" s="25">
        <f t="shared" si="28"/>
        <v>126.81383452034805</v>
      </c>
      <c r="M50" s="25">
        <f t="shared" si="29"/>
        <v>-121.7141395508831</v>
      </c>
      <c r="N50" s="25">
        <f t="shared" si="30"/>
        <v>-2.4758460470609956E-4</v>
      </c>
      <c r="O50" s="25">
        <f t="shared" si="31"/>
        <v>1.3542257233635606</v>
      </c>
      <c r="P50" s="25">
        <f t="shared" si="13"/>
        <v>0.18000000000000002</v>
      </c>
      <c r="Q50" s="25">
        <f t="shared" si="32"/>
        <v>4.5000000000000009</v>
      </c>
      <c r="R50" s="49"/>
    </row>
    <row r="51" spans="1:18">
      <c r="A51" s="134">
        <f t="shared" si="17"/>
        <v>1.3542257233635606</v>
      </c>
      <c r="B51" s="25">
        <f t="shared" si="18"/>
        <v>2.1526996262698601</v>
      </c>
      <c r="C51" s="25">
        <f t="shared" si="19"/>
        <v>0.11782572336356067</v>
      </c>
      <c r="D51" s="25">
        <f t="shared" si="20"/>
        <v>0.17914705515110282</v>
      </c>
      <c r="E51" s="25">
        <f t="shared" si="21"/>
        <v>0.43558970817026416</v>
      </c>
      <c r="F51" s="31">
        <f t="shared" si="22"/>
        <v>1.4046230425109598E-2</v>
      </c>
      <c r="G51" s="25">
        <f t="shared" si="23"/>
        <v>3.0237314986633772E-2</v>
      </c>
      <c r="H51" s="25">
        <f t="shared" si="24"/>
        <v>4.0084514467271211</v>
      </c>
      <c r="I51" s="25">
        <f t="shared" si="25"/>
        <v>18.575627705574384</v>
      </c>
      <c r="J51" s="25">
        <f t="shared" si="26"/>
        <v>3.5944207501921874</v>
      </c>
      <c r="K51" s="25">
        <f t="shared" si="27"/>
        <v>5.1679057618897781</v>
      </c>
      <c r="L51" s="25">
        <f t="shared" si="28"/>
        <v>126.74383179353337</v>
      </c>
      <c r="M51" s="25">
        <f t="shared" si="29"/>
        <v>-121.57592603164359</v>
      </c>
      <c r="N51" s="25">
        <f t="shared" si="30"/>
        <v>-2.4871136888370194E-4</v>
      </c>
      <c r="O51" s="25">
        <f t="shared" si="31"/>
        <v>1.353977011994677</v>
      </c>
      <c r="P51" s="25">
        <f t="shared" si="13"/>
        <v>0.18000000000000002</v>
      </c>
      <c r="Q51" s="25">
        <f t="shared" si="32"/>
        <v>4.6800000000000006</v>
      </c>
      <c r="R51" s="49"/>
    </row>
    <row r="52" spans="1:18">
      <c r="A52" s="134">
        <f t="shared" si="17"/>
        <v>1.353977011994677</v>
      </c>
      <c r="B52" s="25">
        <f t="shared" si="18"/>
        <v>2.1667458566949698</v>
      </c>
      <c r="C52" s="25">
        <f t="shared" si="19"/>
        <v>0.11757701199467707</v>
      </c>
      <c r="D52" s="25">
        <f t="shared" si="20"/>
        <v>0.17858012816150037</v>
      </c>
      <c r="E52" s="25">
        <f t="shared" si="21"/>
        <v>0.43558358562691224</v>
      </c>
      <c r="F52" s="31">
        <f t="shared" si="22"/>
        <v>1.4001583058333978E-2</v>
      </c>
      <c r="G52" s="25">
        <f t="shared" si="23"/>
        <v>3.0337872078815629E-2</v>
      </c>
      <c r="H52" s="25">
        <f t="shared" si="24"/>
        <v>4.0079540239893543</v>
      </c>
      <c r="I52" s="25">
        <f t="shared" si="25"/>
        <v>18.816492883274293</v>
      </c>
      <c r="J52" s="25">
        <f t="shared" si="26"/>
        <v>3.593423864603114</v>
      </c>
      <c r="K52" s="25">
        <f t="shared" si="27"/>
        <v>5.2363688761087843</v>
      </c>
      <c r="L52" s="25">
        <f t="shared" si="28"/>
        <v>126.67353864355896</v>
      </c>
      <c r="M52" s="25">
        <f t="shared" si="29"/>
        <v>-121.43716976745017</v>
      </c>
      <c r="N52" s="25">
        <f t="shared" si="30"/>
        <v>-2.4982360950038661E-4</v>
      </c>
      <c r="O52" s="25">
        <f t="shared" si="31"/>
        <v>1.3537271883851767</v>
      </c>
      <c r="P52" s="25">
        <f t="shared" si="13"/>
        <v>0.18000000000000002</v>
      </c>
      <c r="Q52" s="25">
        <f t="shared" si="32"/>
        <v>4.8600000000000003</v>
      </c>
      <c r="R52" s="49"/>
    </row>
    <row r="53" spans="1:18">
      <c r="A53" s="134">
        <f t="shared" si="17"/>
        <v>1.3537271883851767</v>
      </c>
      <c r="B53" s="25">
        <f t="shared" si="18"/>
        <v>2.1807474397533038</v>
      </c>
      <c r="C53" s="25">
        <f t="shared" si="19"/>
        <v>0.11732718838517675</v>
      </c>
      <c r="D53" s="25">
        <f t="shared" si="20"/>
        <v>0.17801126918914884</v>
      </c>
      <c r="E53" s="25">
        <f t="shared" si="21"/>
        <v>0.43557744533740195</v>
      </c>
      <c r="F53" s="31">
        <f t="shared" si="22"/>
        <v>1.3956784897442044E-2</v>
      </c>
      <c r="G53" s="25">
        <f t="shared" si="23"/>
        <v>3.0436222932284315E-2</v>
      </c>
      <c r="H53" s="25">
        <f t="shared" si="24"/>
        <v>4.0074543767703537</v>
      </c>
      <c r="I53" s="25">
        <f t="shared" si="25"/>
        <v>19.058088060891542</v>
      </c>
      <c r="J53" s="25">
        <f t="shared" si="26"/>
        <v>3.5924226454739654</v>
      </c>
      <c r="K53" s="25">
        <f t="shared" si="27"/>
        <v>5.3050795915960824</v>
      </c>
      <c r="L53" s="25">
        <f t="shared" si="28"/>
        <v>126.60295954903596</v>
      </c>
      <c r="M53" s="25">
        <f t="shared" si="29"/>
        <v>-121.29787995743987</v>
      </c>
      <c r="N53" s="25">
        <f t="shared" si="30"/>
        <v>-2.5092130994345125E-4</v>
      </c>
      <c r="O53" s="25">
        <f t="shared" si="31"/>
        <v>1.3534762670752332</v>
      </c>
      <c r="P53" s="25">
        <f t="shared" si="13"/>
        <v>0.18000000000000002</v>
      </c>
      <c r="Q53" s="25">
        <f t="shared" si="32"/>
        <v>5.04</v>
      </c>
      <c r="R53" s="49"/>
    </row>
    <row r="54" spans="1:18">
      <c r="A54" s="134">
        <f t="shared" si="17"/>
        <v>1.3534762670752332</v>
      </c>
      <c r="B54" s="25">
        <f t="shared" si="18"/>
        <v>2.1947042246507458</v>
      </c>
      <c r="C54" s="25">
        <f t="shared" si="19"/>
        <v>0.11707626707523322</v>
      </c>
      <c r="D54" s="25">
        <f t="shared" si="20"/>
        <v>0.17744052001348984</v>
      </c>
      <c r="E54" s="25">
        <f t="shared" si="21"/>
        <v>0.43557128779925436</v>
      </c>
      <c r="F54" s="31">
        <f t="shared" si="22"/>
        <v>1.3911839245808126E-2</v>
      </c>
      <c r="G54" s="25">
        <f t="shared" si="23"/>
        <v>3.0532372365437137E-2</v>
      </c>
      <c r="H54" s="25">
        <f t="shared" si="24"/>
        <v>4.0069525341504661</v>
      </c>
      <c r="I54" s="25">
        <f t="shared" si="25"/>
        <v>19.300394991213583</v>
      </c>
      <c r="J54" s="25">
        <f t="shared" si="26"/>
        <v>3.5914171527337113</v>
      </c>
      <c r="K54" s="25">
        <f t="shared" si="27"/>
        <v>5.3740331936997423</v>
      </c>
      <c r="L54" s="25">
        <f t="shared" si="28"/>
        <v>126.53209898815869</v>
      </c>
      <c r="M54" s="25">
        <f t="shared" si="29"/>
        <v>-121.15806579445895</v>
      </c>
      <c r="N54" s="25">
        <f t="shared" si="30"/>
        <v>-2.5200445521501142E-4</v>
      </c>
      <c r="O54" s="25">
        <f t="shared" si="31"/>
        <v>1.3532242626200182</v>
      </c>
      <c r="P54" s="25">
        <f t="shared" si="13"/>
        <v>0.18000000000000002</v>
      </c>
      <c r="Q54" s="25">
        <f t="shared" si="32"/>
        <v>5.22</v>
      </c>
      <c r="R54" s="49"/>
    </row>
    <row r="55" spans="1:18">
      <c r="A55" s="134">
        <f t="shared" si="17"/>
        <v>1.3532242626200182</v>
      </c>
      <c r="B55" s="25">
        <f t="shared" si="18"/>
        <v>2.208616063896554</v>
      </c>
      <c r="C55" s="25">
        <f t="shared" si="19"/>
        <v>0.11682426262001822</v>
      </c>
      <c r="D55" s="25">
        <f t="shared" si="20"/>
        <v>0.17686792236099597</v>
      </c>
      <c r="E55" s="25">
        <f t="shared" si="21"/>
        <v>0.43556511350899269</v>
      </c>
      <c r="F55" s="31">
        <f t="shared" si="22"/>
        <v>1.3866749402268046E-2</v>
      </c>
      <c r="G55" s="25">
        <f t="shared" si="23"/>
        <v>3.0626325483877146E-2</v>
      </c>
      <c r="H55" s="25">
        <f t="shared" si="24"/>
        <v>4.0064485252400361</v>
      </c>
      <c r="I55" s="25">
        <f t="shared" si="25"/>
        <v>19.543395479669943</v>
      </c>
      <c r="J55" s="25">
        <f t="shared" si="26"/>
        <v>3.590407446349515</v>
      </c>
      <c r="K55" s="25">
        <f t="shared" si="27"/>
        <v>5.4432249742408354</v>
      </c>
      <c r="L55" s="25">
        <f t="shared" si="28"/>
        <v>126.46096143816808</v>
      </c>
      <c r="M55" s="25">
        <f t="shared" si="29"/>
        <v>-121.01773646392725</v>
      </c>
      <c r="N55" s="25">
        <f t="shared" si="30"/>
        <v>-2.5307303192706953E-4</v>
      </c>
      <c r="O55" s="25">
        <f t="shared" si="31"/>
        <v>1.3529711895880911</v>
      </c>
      <c r="P55" s="25">
        <f t="shared" si="13"/>
        <v>0.18000000000000002</v>
      </c>
      <c r="Q55" s="25">
        <f t="shared" si="32"/>
        <v>5.3999999999999995</v>
      </c>
      <c r="R55" s="49"/>
    </row>
    <row r="56" spans="1:18">
      <c r="A56" s="134">
        <f t="shared" si="17"/>
        <v>1.3529711895880911</v>
      </c>
      <c r="B56" s="25">
        <f t="shared" si="18"/>
        <v>2.2224828132988219</v>
      </c>
      <c r="C56" s="25">
        <f t="shared" si="19"/>
        <v>0.11657118958809121</v>
      </c>
      <c r="D56" s="25">
        <f t="shared" si="20"/>
        <v>0.17629351789970296</v>
      </c>
      <c r="E56" s="25">
        <f t="shared" si="21"/>
        <v>0.4355589229620721</v>
      </c>
      <c r="F56" s="31">
        <f t="shared" si="22"/>
        <v>1.3821518660686092E-2</v>
      </c>
      <c r="G56" s="25">
        <f t="shared" si="23"/>
        <v>3.0718087677063792E-2</v>
      </c>
      <c r="H56" s="25">
        <f t="shared" si="24"/>
        <v>4.0059423791761821</v>
      </c>
      <c r="I56" s="25">
        <f t="shared" si="25"/>
        <v>19.787071386749577</v>
      </c>
      <c r="J56" s="25">
        <f t="shared" si="26"/>
        <v>3.5893935863199329</v>
      </c>
      <c r="K56" s="25">
        <f t="shared" si="27"/>
        <v>5.5126502321068944</v>
      </c>
      <c r="L56" s="25">
        <f t="shared" si="28"/>
        <v>126.38955137481891</v>
      </c>
      <c r="M56" s="25">
        <f t="shared" si="29"/>
        <v>-120.87690114271201</v>
      </c>
      <c r="N56" s="25">
        <f t="shared" si="30"/>
        <v>-2.5412702829630626E-4</v>
      </c>
      <c r="O56" s="25">
        <f t="shared" si="31"/>
        <v>1.3527170625597948</v>
      </c>
      <c r="P56" s="25">
        <f t="shared" si="13"/>
        <v>0.18000000000000002</v>
      </c>
      <c r="Q56" s="25">
        <f t="shared" si="32"/>
        <v>5.5799999999999992</v>
      </c>
      <c r="R56" s="49"/>
    </row>
    <row r="57" spans="1:18">
      <c r="A57" s="134">
        <f t="shared" si="17"/>
        <v>1.3527170625597948</v>
      </c>
      <c r="B57" s="25">
        <f t="shared" si="18"/>
        <v>2.236304331959508</v>
      </c>
      <c r="C57" s="25">
        <f t="shared" si="19"/>
        <v>0.1163170625597949</v>
      </c>
      <c r="D57" s="25">
        <f t="shared" si="20"/>
        <v>0.17571734823378829</v>
      </c>
      <c r="E57" s="25">
        <f t="shared" si="21"/>
        <v>0.43555271665281092</v>
      </c>
      <c r="F57" s="31">
        <f t="shared" si="22"/>
        <v>1.3776150309525812E-2</v>
      </c>
      <c r="G57" s="25">
        <f t="shared" si="23"/>
        <v>3.0807664614917889E-2</v>
      </c>
      <c r="H57" s="25">
        <f t="shared" si="24"/>
        <v>4.0054341251195895</v>
      </c>
      <c r="I57" s="25">
        <f t="shared" si="25"/>
        <v>20.031404630385627</v>
      </c>
      <c r="J57" s="25">
        <f t="shared" si="26"/>
        <v>3.5883756326681331</v>
      </c>
      <c r="K57" s="25">
        <f t="shared" si="27"/>
        <v>5.5823042738397195</v>
      </c>
      <c r="L57" s="25">
        <f t="shared" si="28"/>
        <v>126.31787327185023</v>
      </c>
      <c r="M57" s="25">
        <f t="shared" si="29"/>
        <v>-120.73556899801051</v>
      </c>
      <c r="N57" s="25">
        <f t="shared" si="30"/>
        <v>-2.5516643413860536E-4</v>
      </c>
      <c r="O57" s="25">
        <f t="shared" si="31"/>
        <v>1.3524618961256563</v>
      </c>
      <c r="P57" s="25">
        <f t="shared" si="13"/>
        <v>0.18000000000000002</v>
      </c>
      <c r="Q57" s="25">
        <f t="shared" si="32"/>
        <v>5.7599999999999989</v>
      </c>
      <c r="R57" s="49"/>
    </row>
    <row r="58" spans="1:18">
      <c r="A58" s="134">
        <f t="shared" si="17"/>
        <v>1.3524618961256563</v>
      </c>
      <c r="B58" s="25">
        <f t="shared" si="18"/>
        <v>2.2500804822690337</v>
      </c>
      <c r="C58" s="25">
        <f t="shared" si="19"/>
        <v>0.11606189612565632</v>
      </c>
      <c r="D58" s="25">
        <f t="shared" si="20"/>
        <v>0.17513945489819516</v>
      </c>
      <c r="E58" s="25">
        <f t="shared" si="21"/>
        <v>0.43554649507432158</v>
      </c>
      <c r="F58" s="31">
        <f t="shared" si="22"/>
        <v>1.3730647631424505E-2</v>
      </c>
      <c r="G58" s="25">
        <f t="shared" si="23"/>
        <v>3.0895062244381814E-2</v>
      </c>
      <c r="H58" s="25">
        <f t="shared" si="24"/>
        <v>4.0049237922513123</v>
      </c>
      <c r="I58" s="25">
        <f t="shared" si="25"/>
        <v>20.276377188307229</v>
      </c>
      <c r="J58" s="25">
        <f t="shared" si="26"/>
        <v>3.5873536454351584</v>
      </c>
      <c r="K58" s="25">
        <f t="shared" si="27"/>
        <v>5.6521824142173847</v>
      </c>
      <c r="L58" s="25">
        <f t="shared" si="28"/>
        <v>126.24593160046</v>
      </c>
      <c r="M58" s="25">
        <f t="shared" si="29"/>
        <v>-120.59374918624262</v>
      </c>
      <c r="N58" s="25">
        <f t="shared" si="30"/>
        <v>-2.5619124086330615E-4</v>
      </c>
      <c r="O58" s="25">
        <f t="shared" si="31"/>
        <v>1.3522057048847929</v>
      </c>
      <c r="P58" s="25">
        <f t="shared" si="13"/>
        <v>0.18000000000000002</v>
      </c>
      <c r="Q58" s="25">
        <f t="shared" si="32"/>
        <v>5.9399999999999986</v>
      </c>
      <c r="R58" s="49"/>
    </row>
    <row r="59" spans="1:18">
      <c r="A59" s="134">
        <f t="shared" si="17"/>
        <v>1.3522057048847929</v>
      </c>
      <c r="B59" s="25">
        <f t="shared" si="18"/>
        <v>2.263811129900458</v>
      </c>
      <c r="C59" s="25">
        <f t="shared" si="19"/>
        <v>0.11580570488479291</v>
      </c>
      <c r="D59" s="25">
        <f t="shared" si="20"/>
        <v>0.17455987935330153</v>
      </c>
      <c r="E59" s="25">
        <f t="shared" si="21"/>
        <v>0.43554025871844315</v>
      </c>
      <c r="F59" s="31">
        <f t="shared" si="22"/>
        <v>1.3685013902771492E-2</v>
      </c>
      <c r="G59" s="25">
        <f t="shared" si="23"/>
        <v>3.0980286785936607E-2</v>
      </c>
      <c r="H59" s="25">
        <f t="shared" si="24"/>
        <v>4.0044114097695855</v>
      </c>
      <c r="I59" s="25">
        <f t="shared" si="25"/>
        <v>20.521971100357995</v>
      </c>
      <c r="J59" s="25">
        <f t="shared" si="26"/>
        <v>3.5863276846732099</v>
      </c>
      <c r="K59" s="25">
        <f t="shared" si="27"/>
        <v>5.7222799768303876</v>
      </c>
      <c r="L59" s="25">
        <f t="shared" si="28"/>
        <v>126.17373082878291</v>
      </c>
      <c r="M59" s="25">
        <f t="shared" si="29"/>
        <v>-120.45145085195252</v>
      </c>
      <c r="N59" s="25">
        <f t="shared" si="30"/>
        <v>-2.5720144146719026E-4</v>
      </c>
      <c r="O59" s="25">
        <f t="shared" si="31"/>
        <v>1.3519485034433256</v>
      </c>
      <c r="P59" s="25">
        <f t="shared" si="13"/>
        <v>0.18000000000000002</v>
      </c>
      <c r="Q59" s="25">
        <f t="shared" si="32"/>
        <v>6.1199999999999983</v>
      </c>
      <c r="R59" s="49"/>
    </row>
    <row r="60" spans="1:18">
      <c r="A60" s="134">
        <f t="shared" si="17"/>
        <v>1.3519485034433256</v>
      </c>
      <c r="B60" s="25">
        <f t="shared" si="18"/>
        <v>2.2774961438032295</v>
      </c>
      <c r="C60" s="25">
        <f t="shared" si="19"/>
        <v>0.11554850344332568</v>
      </c>
      <c r="D60" s="25">
        <f t="shared" si="20"/>
        <v>0.17397866297963843</v>
      </c>
      <c r="E60" s="25">
        <f t="shared" si="21"/>
        <v>0.43553400807567366</v>
      </c>
      <c r="F60" s="31">
        <f t="shared" si="22"/>
        <v>1.3639252393290377E-2</v>
      </c>
      <c r="G60" s="25">
        <f t="shared" si="23"/>
        <v>3.1063344730077803E-2</v>
      </c>
      <c r="H60" s="25">
        <f t="shared" si="24"/>
        <v>4.0038970068866515</v>
      </c>
      <c r="I60" s="25">
        <f t="shared" si="25"/>
        <v>20.768168470780903</v>
      </c>
      <c r="J60" s="25">
        <f t="shared" si="26"/>
        <v>3.5852978104389712</v>
      </c>
      <c r="K60" s="25">
        <f t="shared" si="27"/>
        <v>5.7925922946518416</v>
      </c>
      <c r="L60" s="25">
        <f t="shared" si="28"/>
        <v>126.10127542137251</v>
      </c>
      <c r="M60" s="25">
        <f t="shared" si="29"/>
        <v>-120.30868312672067</v>
      </c>
      <c r="N60" s="25">
        <f t="shared" si="30"/>
        <v>-2.5819703052820306E-4</v>
      </c>
      <c r="O60" s="25">
        <f t="shared" si="31"/>
        <v>1.3516903064127974</v>
      </c>
      <c r="P60" s="25">
        <f t="shared" si="13"/>
        <v>0.18000000000000002</v>
      </c>
      <c r="Q60" s="25">
        <f t="shared" si="32"/>
        <v>6.299999999999998</v>
      </c>
      <c r="R60" s="49"/>
    </row>
    <row r="61" spans="1:18">
      <c r="A61" s="134">
        <f t="shared" si="17"/>
        <v>1.3516903064127974</v>
      </c>
      <c r="B61" s="25">
        <f t="shared" si="18"/>
        <v>2.2911353961965197</v>
      </c>
      <c r="C61" s="25">
        <f t="shared" si="19"/>
        <v>0.11529030641279747</v>
      </c>
      <c r="D61" s="25">
        <f t="shared" si="20"/>
        <v>0.17339584707265437</v>
      </c>
      <c r="E61" s="25">
        <f t="shared" si="21"/>
        <v>0.43552774363510366</v>
      </c>
      <c r="F61" s="31">
        <f t="shared" si="22"/>
        <v>1.3593366365625118E-2</v>
      </c>
      <c r="G61" s="25">
        <f t="shared" si="23"/>
        <v>3.1144242833750949E-2</v>
      </c>
      <c r="H61" s="25">
        <f t="shared" si="24"/>
        <v>4.0033806128255947</v>
      </c>
      <c r="I61" s="25">
        <f t="shared" si="25"/>
        <v>21.014951470469111</v>
      </c>
      <c r="J61" s="25">
        <f t="shared" si="26"/>
        <v>3.5842640827869592</v>
      </c>
      <c r="K61" s="25">
        <f t="shared" si="27"/>
        <v>5.8631147106015833</v>
      </c>
      <c r="L61" s="25">
        <f t="shared" si="28"/>
        <v>126.02856983868666</v>
      </c>
      <c r="M61" s="25">
        <f t="shared" si="29"/>
        <v>-120.16545512808509</v>
      </c>
      <c r="N61" s="25">
        <f t="shared" si="30"/>
        <v>-2.591780041989115E-4</v>
      </c>
      <c r="O61" s="25">
        <f t="shared" si="31"/>
        <v>1.3514311284085985</v>
      </c>
      <c r="P61" s="25">
        <f t="shared" si="13"/>
        <v>0.18000000000000002</v>
      </c>
      <c r="Q61" s="25">
        <f t="shared" si="32"/>
        <v>6.4799999999999978</v>
      </c>
      <c r="R61" s="49"/>
    </row>
    <row r="62" spans="1:18" ht="15">
      <c r="A62" s="53"/>
      <c r="E62" s="316" t="s">
        <v>476</v>
      </c>
      <c r="F62" s="316"/>
      <c r="G62" s="59">
        <f>SUM(G26:G61)</f>
        <v>1.0545146698155823</v>
      </c>
      <c r="R62" s="49"/>
    </row>
    <row r="63" spans="1:18">
      <c r="A63" s="53"/>
      <c r="R63" s="49"/>
    </row>
    <row r="64" spans="1:18">
      <c r="A64" s="53"/>
      <c r="R64" s="49"/>
    </row>
    <row r="65" spans="1:18" ht="31.5" customHeight="1">
      <c r="A65" s="472" t="s">
        <v>489</v>
      </c>
      <c r="B65" s="473"/>
      <c r="C65" s="473"/>
      <c r="D65" s="473"/>
      <c r="E65" s="473"/>
      <c r="F65" s="473"/>
      <c r="G65" s="473"/>
      <c r="H65" s="473"/>
      <c r="I65" s="473"/>
      <c r="J65" s="473"/>
      <c r="K65" s="473"/>
      <c r="L65" s="473"/>
      <c r="M65" s="473"/>
      <c r="N65" s="473"/>
      <c r="O65" s="473"/>
      <c r="P65" s="473"/>
      <c r="Q65" s="473"/>
      <c r="R65" s="49"/>
    </row>
    <row r="66" spans="1:18">
      <c r="A66" s="53"/>
      <c r="R66" s="49"/>
    </row>
    <row r="67" spans="1:18">
      <c r="A67" s="53"/>
      <c r="R67" s="49"/>
    </row>
    <row r="68" spans="1:18">
      <c r="A68" s="53"/>
      <c r="R68" s="49"/>
    </row>
    <row r="69" spans="1:18">
      <c r="A69" s="53"/>
      <c r="R69" s="49"/>
    </row>
    <row r="70" spans="1:18">
      <c r="A70" s="53"/>
      <c r="C70" s="28" t="s">
        <v>286</v>
      </c>
      <c r="D70" s="28" t="s">
        <v>287</v>
      </c>
      <c r="E70" s="28" t="s">
        <v>332</v>
      </c>
      <c r="R70" s="49"/>
    </row>
    <row r="71" spans="1:18">
      <c r="A71" s="474" t="s">
        <v>333</v>
      </c>
      <c r="B71" s="323"/>
      <c r="C71" s="236">
        <f>+B14/2</f>
        <v>2.35</v>
      </c>
      <c r="D71" s="236">
        <f>+D78+E20</f>
        <v>5</v>
      </c>
      <c r="E71" s="236">
        <f>+E21+E20*B7+B13</f>
        <v>101.70050000000001</v>
      </c>
      <c r="G71" s="292" t="s">
        <v>490</v>
      </c>
      <c r="H71" s="471"/>
      <c r="I71" s="293"/>
      <c r="J71" s="35">
        <f>+B37</f>
        <v>1.951456760416338</v>
      </c>
      <c r="K71" s="36" t="s">
        <v>46</v>
      </c>
      <c r="R71" s="49"/>
    </row>
    <row r="72" spans="1:18">
      <c r="A72" s="474"/>
      <c r="B72" s="323"/>
      <c r="C72" s="236">
        <f>+B4/2</f>
        <v>0.65</v>
      </c>
      <c r="D72" s="236">
        <f>+D71</f>
        <v>5</v>
      </c>
      <c r="E72" s="236">
        <f>+E21+E20*B7</f>
        <v>100.0005</v>
      </c>
      <c r="G72" s="292" t="s">
        <v>491</v>
      </c>
      <c r="H72" s="471"/>
      <c r="I72" s="293"/>
      <c r="J72" s="35">
        <f>+E91</f>
        <v>99.998851999999999</v>
      </c>
      <c r="K72" s="36" t="s">
        <v>44</v>
      </c>
      <c r="R72" s="49"/>
    </row>
    <row r="73" spans="1:18">
      <c r="A73" s="474"/>
      <c r="B73" s="323"/>
      <c r="C73" s="236">
        <f>-C72</f>
        <v>-0.65</v>
      </c>
      <c r="D73" s="236">
        <f>+D72</f>
        <v>5</v>
      </c>
      <c r="E73" s="236">
        <f>+E72</f>
        <v>100.0005</v>
      </c>
      <c r="G73" s="292" t="s">
        <v>492</v>
      </c>
      <c r="H73" s="471"/>
      <c r="I73" s="293"/>
      <c r="J73" s="35">
        <f>+J72+E9</f>
        <v>101.358892</v>
      </c>
      <c r="K73" s="36" t="s">
        <v>44</v>
      </c>
      <c r="R73" s="49"/>
    </row>
    <row r="74" spans="1:18">
      <c r="A74" s="474"/>
      <c r="B74" s="323"/>
      <c r="C74" s="236">
        <f>-C71</f>
        <v>-2.35</v>
      </c>
      <c r="D74" s="236">
        <f>+D73</f>
        <v>5</v>
      </c>
      <c r="E74" s="236">
        <f>+E71</f>
        <v>101.70050000000001</v>
      </c>
      <c r="R74" s="49"/>
    </row>
    <row r="75" spans="1:18">
      <c r="A75" s="474" t="s">
        <v>493</v>
      </c>
      <c r="B75" s="323"/>
      <c r="C75" s="236">
        <f>+C74</f>
        <v>-2.35</v>
      </c>
      <c r="D75" s="236">
        <v>0</v>
      </c>
      <c r="E75" s="236">
        <f>+E21+(D78-D75)*B7+B13</f>
        <v>101.7</v>
      </c>
      <c r="R75" s="49"/>
    </row>
    <row r="76" spans="1:18">
      <c r="A76" s="474"/>
      <c r="B76" s="323"/>
      <c r="C76" s="236">
        <f>+C73</f>
        <v>-0.65</v>
      </c>
      <c r="D76" s="236">
        <f>+D75</f>
        <v>0</v>
      </c>
      <c r="E76" s="236">
        <f>+E21+(D78-D75)*B7</f>
        <v>100</v>
      </c>
      <c r="R76" s="49"/>
    </row>
    <row r="77" spans="1:18">
      <c r="A77" s="474"/>
      <c r="B77" s="323"/>
      <c r="C77" s="236">
        <f>+C72</f>
        <v>0.65</v>
      </c>
      <c r="D77" s="236">
        <f>+D76</f>
        <v>0</v>
      </c>
      <c r="E77" s="236">
        <f>+E21+(D78-D75)*B7</f>
        <v>100</v>
      </c>
      <c r="R77" s="49"/>
    </row>
    <row r="78" spans="1:18">
      <c r="A78" s="474"/>
      <c r="B78" s="323"/>
      <c r="C78" s="236">
        <f>+(B4+2*B5*B8)/2</f>
        <v>1.8864000000000001</v>
      </c>
      <c r="D78" s="236">
        <v>0</v>
      </c>
      <c r="E78" s="236">
        <f>E77+E15</f>
        <v>101.2364</v>
      </c>
      <c r="R78" s="49"/>
    </row>
    <row r="79" spans="1:18">
      <c r="A79" s="474"/>
      <c r="B79" s="323"/>
      <c r="C79" s="236">
        <f>+C71</f>
        <v>2.35</v>
      </c>
      <c r="D79" s="236">
        <f>+D77</f>
        <v>0</v>
      </c>
      <c r="E79" s="236">
        <f>+E75</f>
        <v>101.7</v>
      </c>
      <c r="R79" s="49"/>
    </row>
    <row r="80" spans="1:18">
      <c r="A80" s="465" t="s">
        <v>494</v>
      </c>
      <c r="B80" s="466"/>
      <c r="C80" s="236">
        <f>+C78+E18</f>
        <v>1.9864000000000002</v>
      </c>
      <c r="D80" s="236">
        <f>+D78</f>
        <v>0</v>
      </c>
      <c r="E80" s="236">
        <f>+E78</f>
        <v>101.2364</v>
      </c>
      <c r="R80" s="49"/>
    </row>
    <row r="81" spans="1:18">
      <c r="A81" s="467"/>
      <c r="B81" s="468"/>
      <c r="C81" s="236">
        <f>+C80+E19*B13</f>
        <v>3.6864000000000003</v>
      </c>
      <c r="D81" s="236">
        <f>+D80</f>
        <v>0</v>
      </c>
      <c r="E81" s="236">
        <f>+E80-B13</f>
        <v>99.5364</v>
      </c>
      <c r="R81" s="49"/>
    </row>
    <row r="82" spans="1:18">
      <c r="A82" s="467"/>
      <c r="B82" s="468"/>
      <c r="C82" s="236">
        <f>+C81</f>
        <v>3.6864000000000003</v>
      </c>
      <c r="D82" s="236">
        <f>+D83</f>
        <v>-6.4799999999999978</v>
      </c>
      <c r="E82" s="236">
        <f>+E81</f>
        <v>99.5364</v>
      </c>
      <c r="R82" s="49"/>
    </row>
    <row r="83" spans="1:18">
      <c r="A83" s="469"/>
      <c r="B83" s="470"/>
      <c r="C83" s="236">
        <f>+C85+E18</f>
        <v>1.9864000000000002</v>
      </c>
      <c r="D83" s="236">
        <f>+D85</f>
        <v>-6.4799999999999978</v>
      </c>
      <c r="E83" s="236">
        <f>+E85</f>
        <v>101.23575200000001</v>
      </c>
      <c r="R83" s="49"/>
    </row>
    <row r="84" spans="1:18">
      <c r="A84" s="459" t="s">
        <v>495</v>
      </c>
      <c r="B84" s="460"/>
      <c r="C84" s="236">
        <f>+C79</f>
        <v>2.35</v>
      </c>
      <c r="D84" s="236">
        <f>+D77-E22</f>
        <v>-6.4799999999999978</v>
      </c>
      <c r="E84" s="236">
        <f>+E79+D84*B7</f>
        <v>101.699352</v>
      </c>
      <c r="R84" s="49"/>
    </row>
    <row r="85" spans="1:18">
      <c r="A85" s="461"/>
      <c r="B85" s="462"/>
      <c r="C85" s="236">
        <f>+C78</f>
        <v>1.8864000000000001</v>
      </c>
      <c r="D85" s="236">
        <f>+D84</f>
        <v>-6.4799999999999978</v>
      </c>
      <c r="E85" s="236">
        <f>+E78+D84*B7</f>
        <v>101.23575200000001</v>
      </c>
      <c r="R85" s="49"/>
    </row>
    <row r="86" spans="1:18">
      <c r="A86" s="461"/>
      <c r="B86" s="462"/>
      <c r="C86" s="236">
        <f>+C77</f>
        <v>0.65</v>
      </c>
      <c r="D86" s="236">
        <f>+D85</f>
        <v>-6.4799999999999978</v>
      </c>
      <c r="E86" s="236">
        <f>+E77+D84*B7</f>
        <v>99.999352000000002</v>
      </c>
      <c r="R86" s="49"/>
    </row>
    <row r="87" spans="1:18">
      <c r="A87" s="461"/>
      <c r="B87" s="462"/>
      <c r="C87" s="236">
        <f>+C76</f>
        <v>-0.65</v>
      </c>
      <c r="D87" s="236">
        <f>+D86</f>
        <v>-6.4799999999999978</v>
      </c>
      <c r="E87" s="236">
        <f>+E86</f>
        <v>99.999352000000002</v>
      </c>
      <c r="R87" s="49"/>
    </row>
    <row r="88" spans="1:18">
      <c r="A88" s="463"/>
      <c r="B88" s="464"/>
      <c r="C88" s="236">
        <f>+C75</f>
        <v>-2.35</v>
      </c>
      <c r="D88" s="236">
        <f>+D87</f>
        <v>-6.4799999999999978</v>
      </c>
      <c r="E88" s="236">
        <f>+E84</f>
        <v>101.699352</v>
      </c>
      <c r="R88" s="49"/>
    </row>
    <row r="89" spans="1:18">
      <c r="A89" s="465" t="s">
        <v>496</v>
      </c>
      <c r="B89" s="466"/>
      <c r="C89" s="236">
        <f>+C88</f>
        <v>-2.35</v>
      </c>
      <c r="D89" s="236">
        <f>+D88-E20</f>
        <v>-11.479999999999997</v>
      </c>
      <c r="E89" s="236">
        <f>+E88-E20*B7</f>
        <v>101.698852</v>
      </c>
      <c r="R89" s="49"/>
    </row>
    <row r="90" spans="1:18">
      <c r="A90" s="467"/>
      <c r="B90" s="468"/>
      <c r="C90" s="236">
        <f>+C87</f>
        <v>-0.65</v>
      </c>
      <c r="D90" s="236">
        <f>+D89</f>
        <v>-11.479999999999997</v>
      </c>
      <c r="E90" s="236">
        <f>+E89-B13</f>
        <v>99.998851999999999</v>
      </c>
      <c r="R90" s="49"/>
    </row>
    <row r="91" spans="1:18">
      <c r="A91" s="467"/>
      <c r="B91" s="468"/>
      <c r="C91" s="236">
        <f>+C86</f>
        <v>0.65</v>
      </c>
      <c r="D91" s="236">
        <f>+D90</f>
        <v>-11.479999999999997</v>
      </c>
      <c r="E91" s="236">
        <f>+E90</f>
        <v>99.998851999999999</v>
      </c>
      <c r="G91" s="37"/>
      <c r="R91" s="49"/>
    </row>
    <row r="92" spans="1:18">
      <c r="A92" s="469"/>
      <c r="B92" s="470"/>
      <c r="C92" s="236">
        <f>+C84</f>
        <v>2.35</v>
      </c>
      <c r="D92" s="236">
        <f>+D91</f>
        <v>-11.479999999999997</v>
      </c>
      <c r="E92" s="236">
        <f>+E89</f>
        <v>101.698852</v>
      </c>
      <c r="R92" s="49"/>
    </row>
    <row r="93" spans="1:18" ht="15" thickBot="1">
      <c r="A93" s="54"/>
      <c r="B93" s="41"/>
      <c r="C93" s="41"/>
      <c r="D93" s="41"/>
      <c r="E93" s="41"/>
      <c r="F93" s="41"/>
      <c r="G93" s="41"/>
      <c r="H93" s="41"/>
      <c r="I93" s="41"/>
      <c r="J93" s="41"/>
      <c r="K93" s="41"/>
      <c r="L93" s="41"/>
      <c r="M93" s="41"/>
      <c r="N93" s="41"/>
      <c r="O93" s="41"/>
      <c r="P93" s="41"/>
      <c r="Q93" s="41"/>
      <c r="R93" s="55"/>
    </row>
  </sheetData>
  <sheetProtection algorithmName="SHA-512" hashValue="nSBURXrNkC/tZlKCG0BwCryRI8nIkn/afMvzWZ/WD9VsxVeYGbeQ8lz2wHTxWJFzRGF6p9HtmMiPepttV1rORg==" saltValue="88yz0od1uk3vHL436pEiYQ==" spinCount="100000" sheet="1" objects="1" scenarios="1" selectLockedCells="1"/>
  <mergeCells count="22">
    <mergeCell ref="G3:H3"/>
    <mergeCell ref="G13:G14"/>
    <mergeCell ref="H13:H14"/>
    <mergeCell ref="D3:E3"/>
    <mergeCell ref="A17:D17"/>
    <mergeCell ref="A3:B3"/>
    <mergeCell ref="A18:D18"/>
    <mergeCell ref="A75:B79"/>
    <mergeCell ref="A20:D20"/>
    <mergeCell ref="A21:D21"/>
    <mergeCell ref="A22:D22"/>
    <mergeCell ref="A23:D23"/>
    <mergeCell ref="A71:B74"/>
    <mergeCell ref="A84:B88"/>
    <mergeCell ref="A89:B92"/>
    <mergeCell ref="A19:D19"/>
    <mergeCell ref="E62:F62"/>
    <mergeCell ref="G71:I71"/>
    <mergeCell ref="G72:I72"/>
    <mergeCell ref="A65:Q65"/>
    <mergeCell ref="G73:I73"/>
    <mergeCell ref="A80:B83"/>
  </mergeCells>
  <pageMargins left="0.7" right="0.7" top="0.75" bottom="0.75" header="0.3" footer="0.3"/>
  <ignoredErrors>
    <ignoredError sqref="C71:E92"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Vertedero_Lateral_Botón1_Haga_clic_en">
                <anchor moveWithCells="1" sizeWithCells="1">
                  <from>
                    <xdr:col>5</xdr:col>
                    <xdr:colOff>142875</xdr:colOff>
                    <xdr:row>15</xdr:row>
                    <xdr:rowOff>180975</xdr:rowOff>
                  </from>
                  <to>
                    <xdr:col>6</xdr:col>
                    <xdr:colOff>676275</xdr:colOff>
                    <xdr:row>18</xdr:row>
                    <xdr:rowOff>161925</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DAFAB72B11A8841BB4C9719408B0024" ma:contentTypeVersion="18" ma:contentTypeDescription="Crear nuevo documento." ma:contentTypeScope="" ma:versionID="70333f007008b647b534103607f235a1">
  <xsd:schema xmlns:xsd="http://www.w3.org/2001/XMLSchema" xmlns:xs="http://www.w3.org/2001/XMLSchema" xmlns:p="http://schemas.microsoft.com/office/2006/metadata/properties" xmlns:ns3="5efee8aa-3388-4072-ad52-ddb68a0c1c80" xmlns:ns4="47562841-78c1-4b44-a16c-8a242845c2e3" targetNamespace="http://schemas.microsoft.com/office/2006/metadata/properties" ma:root="true" ma:fieldsID="93ef99153d0a30d608d0a8b316e69a8d" ns3:_="" ns4:_="">
    <xsd:import namespace="5efee8aa-3388-4072-ad52-ddb68a0c1c80"/>
    <xsd:import namespace="47562841-78c1-4b44-a16c-8a242845c2e3"/>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AutoKeyPoints" minOccurs="0"/>
                <xsd:element ref="ns4:MediaServiceKeyPoints" minOccurs="0"/>
                <xsd:element ref="ns4:MediaServiceOCR" minOccurs="0"/>
                <xsd:element ref="ns4:MediaServiceDateTaken" minOccurs="0"/>
                <xsd:element ref="ns4:MediaLengthInSeconds" minOccurs="0"/>
                <xsd:element ref="ns4:MediaServiceLocation"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fee8aa-3388-4072-ad52-ddb68a0c1c80"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562841-78c1-4b44-a16c-8a242845c2e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7562841-78c1-4b44-a16c-8a242845c2e3" xsi:nil="true"/>
  </documentManagement>
</p:properties>
</file>

<file path=customXml/itemProps1.xml><?xml version="1.0" encoding="utf-8"?>
<ds:datastoreItem xmlns:ds="http://schemas.openxmlformats.org/officeDocument/2006/customXml" ds:itemID="{CCEBECA8-78EB-4313-A3CB-D533471957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fee8aa-3388-4072-ad52-ddb68a0c1c80"/>
    <ds:schemaRef ds:uri="47562841-78c1-4b44-a16c-8a242845c2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DFC83B-BB44-4DA0-8951-F52B56B9D702}">
  <ds:schemaRefs>
    <ds:schemaRef ds:uri="http://schemas.microsoft.com/sharepoint/v3/contenttype/forms"/>
  </ds:schemaRefs>
</ds:datastoreItem>
</file>

<file path=customXml/itemProps3.xml><?xml version="1.0" encoding="utf-8"?>
<ds:datastoreItem xmlns:ds="http://schemas.openxmlformats.org/officeDocument/2006/customXml" ds:itemID="{6AB3DEBF-CEFE-4961-AAE6-AAC914F33317}">
  <ds:schemaRefs>
    <ds:schemaRef ds:uri="http://schemas.microsoft.com/office/2006/metadata/properties"/>
    <ds:schemaRef ds:uri="http://schemas.microsoft.com/office/infopath/2007/PartnerControls"/>
    <ds:schemaRef ds:uri="47562841-78c1-4b44-a16c-8a242845c2e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Portada</vt:lpstr>
      <vt:lpstr>Introducción</vt:lpstr>
      <vt:lpstr>Calculo Caudal o Tirante</vt:lpstr>
      <vt:lpstr>Transición</vt:lpstr>
      <vt:lpstr>Rápida</vt:lpstr>
      <vt:lpstr>Memoría de cálculo Rápida</vt:lpstr>
      <vt:lpstr>Caída</vt:lpstr>
      <vt:lpstr>Memoría de cálculo Desarenador</vt:lpstr>
      <vt:lpstr>Puente Canal</vt:lpstr>
      <vt:lpstr>Vertedero_Lateral</vt:lpstr>
      <vt:lpstr>Curva</vt:lpstr>
      <vt:lpstr>Curvas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 Watson</dc:creator>
  <cp:keywords/>
  <dc:description/>
  <cp:lastModifiedBy>Xiomara Arce Calderón</cp:lastModifiedBy>
  <cp:revision/>
  <dcterms:created xsi:type="dcterms:W3CDTF">2017-10-27T20:18:38Z</dcterms:created>
  <dcterms:modified xsi:type="dcterms:W3CDTF">2024-11-26T22:33:02Z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0x0101001DAFAB72B11A8841BB4C9719408B0024</vt:lpwstr>
  </property>
</Properties>
</file>