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16.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17.xml" ContentType="application/vnd.openxmlformats-officedocument.drawing+xml"/>
  <Override PartName="/xl/worksheets/sheet5.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7125" windowHeight="5595" activeTab="0"/>
  </bookViews>
  <sheets>
    <sheet name="Menú" sheetId="1" r:id="rId1"/>
    <sheet name="Problemas" sheetId="2" r:id="rId2"/>
    <sheet name="Ejemplos" sheetId="3" r:id="rId3"/>
    <sheet name="Generador" sheetId="4" r:id="rId4"/>
    <sheet name="Tablas" sheetId="5" r:id="rId5"/>
  </sheets>
  <definedNames>
    <definedName name="D_07">'Ejemplos'!$A$4</definedName>
    <definedName name="D_09">'Ejemplos'!$B$209</definedName>
    <definedName name="D_11">'Ejemplos'!$A$219</definedName>
    <definedName name="D_12">'Ejemplos'!$A$224</definedName>
    <definedName name="D_13">'Ejemplos'!$E$314</definedName>
    <definedName name="D_14">'Ejemplos'!$A$343</definedName>
    <definedName name="D_15">'Ejemplos'!$A$351</definedName>
    <definedName name="D_16">'Ejemplos'!$A$361</definedName>
    <definedName name="D_17">'Ejemplos'!#REF!</definedName>
    <definedName name="D_19">'Ejemplos'!$A$372</definedName>
    <definedName name="D_20">'Ejemplos'!$A$472</definedName>
    <definedName name="D_21">'Ejemplos'!$A$485</definedName>
    <definedName name="D_22">'Ejemplos'!$A$498</definedName>
    <definedName name="D_23">'Ejemplos'!$A$509</definedName>
    <definedName name="D_24">'Ejemplos'!$A$518</definedName>
    <definedName name="D_25">'Ejemplos'!$A$529</definedName>
    <definedName name="D_27">'Ejemplos'!$A$539</definedName>
    <definedName name="D_29">'Ejemplos'!$A$554</definedName>
    <definedName name="D_30">'Ejemplos'!$B$589</definedName>
    <definedName name="D_34">'Ejemplos'!$A$682</definedName>
    <definedName name="D_35">'Ejemplos'!$A$688</definedName>
    <definedName name="D_36">'Ejemplos'!$A$694</definedName>
    <definedName name="D_39">'Ejemplos'!$A$713</definedName>
    <definedName name="D_40">'Ejemplos'!$A$732</definedName>
    <definedName name="D_43">'Ejemplos'!$A$746</definedName>
    <definedName name="D_44">'Ejemplos'!$A$821</definedName>
    <definedName name="D_45">'Ejemplos'!$A$825</definedName>
    <definedName name="D_46">'Ejemplos'!$A$838</definedName>
    <definedName name="D_47">'Ejemplos'!$A$870</definedName>
    <definedName name="D_48">'Ejemplos'!$A$899</definedName>
    <definedName name="D_49">'Ejemplos'!$A$932</definedName>
    <definedName name="D_50">'Ejemplos'!$A$964</definedName>
    <definedName name="D_51">'Ejemplos'!$B$995</definedName>
    <definedName name="D_52">'Ejemplos'!$A$996</definedName>
    <definedName name="D_54">'Ejemplos'!$A$1090</definedName>
    <definedName name="D_55">'Ejemplos'!$A$1146</definedName>
    <definedName name="D_58">'Ejemplos'!$A$1185</definedName>
    <definedName name="D_59">'Ejemplos'!$A$1207</definedName>
    <definedName name="D_60">'Ejemplos'!$A$1222</definedName>
    <definedName name="D_61">'Ejemplos'!$A$1227</definedName>
    <definedName name="D_62">'Ejemplos'!$A$1292</definedName>
    <definedName name="D_63">'Ejemplos'!$A$1306</definedName>
    <definedName name="G_01">'Generador'!$D$11</definedName>
    <definedName name="G_02">'Generador'!$E$112</definedName>
    <definedName name="G_03">'Generador'!$D$214</definedName>
    <definedName name="G_04">'Generador'!$E$287</definedName>
    <definedName name="T_01">'Tablas'!$A$10</definedName>
    <definedName name="T_02">'Tablas'!$B$70</definedName>
    <definedName name="T_03">'Tablas'!$A$138</definedName>
  </definedNames>
  <calcPr fullCalcOnLoad="1"/>
</workbook>
</file>

<file path=xl/comments2.xml><?xml version="1.0" encoding="utf-8"?>
<comments xmlns="http://schemas.openxmlformats.org/spreadsheetml/2006/main">
  <authors>
    <author>mpontigo</author>
    <author>Instituto Tecnologico de Costa Rica</author>
  </authors>
  <commentList>
    <comment ref="B13" authorId="0">
      <text>
        <r>
          <rPr>
            <b/>
            <sz val="8"/>
            <rFont val="Tahoma"/>
            <family val="0"/>
          </rPr>
          <t>mpontigo:</t>
        </r>
        <r>
          <rPr>
            <sz val="8"/>
            <rFont val="Tahoma"/>
            <family val="0"/>
          </rPr>
          <t xml:space="preserve">
Posicione en esta celda para descargar con: </t>
        </r>
        <r>
          <rPr>
            <i/>
            <sz val="8"/>
            <rFont val="Tahoma"/>
            <family val="2"/>
          </rPr>
          <t>Esición / Pegado Especial</t>
        </r>
        <r>
          <rPr>
            <sz val="8"/>
            <rFont val="Tahoma"/>
            <family val="0"/>
          </rPr>
          <t xml:space="preserve">  / Valores.</t>
        </r>
      </text>
    </comment>
    <comment ref="A102" authorId="0">
      <text>
        <r>
          <rPr>
            <b/>
            <sz val="8"/>
            <rFont val="Tahoma"/>
            <family val="0"/>
          </rPr>
          <t>mpontigo:
Inicie el sombreado en esta celda antes de activar opción ORDENAR</t>
        </r>
      </text>
    </comment>
    <comment ref="B596" authorId="0">
      <text>
        <r>
          <rPr>
            <b/>
            <sz val="8"/>
            <rFont val="Tahoma"/>
            <family val="0"/>
          </rPr>
          <t>mpontigo:</t>
        </r>
        <r>
          <rPr>
            <sz val="8"/>
            <rFont val="Tahoma"/>
            <family val="0"/>
          </rPr>
          <t xml:space="preserve">
Empiece el cobreado de las celdas para COPIAR.</t>
        </r>
      </text>
    </comment>
    <comment ref="E680" authorId="0">
      <text>
        <r>
          <rPr>
            <b/>
            <sz val="8"/>
            <rFont val="Tahoma"/>
            <family val="0"/>
          </rPr>
          <t>mpontigo:</t>
        </r>
        <r>
          <rPr>
            <sz val="8"/>
            <rFont val="Tahoma"/>
            <family val="0"/>
          </rPr>
          <t xml:space="preserve">
Termine el combreado y active la instrucción COPIAR.</t>
        </r>
      </text>
    </comment>
    <comment ref="C749" authorId="0">
      <text>
        <r>
          <rPr>
            <b/>
            <sz val="8"/>
            <rFont val="Tahoma"/>
            <family val="0"/>
          </rPr>
          <t>mpontigo:</t>
        </r>
        <r>
          <rPr>
            <sz val="8"/>
            <rFont val="Tahoma"/>
            <family val="0"/>
          </rPr>
          <t xml:space="preserve">
Posicione en esta celda para descargar con: </t>
        </r>
        <r>
          <rPr>
            <i/>
            <sz val="8"/>
            <rFont val="Tahoma"/>
            <family val="2"/>
          </rPr>
          <t>Edición / Pegado especial / Valores.</t>
        </r>
      </text>
    </comment>
    <comment ref="B1134" authorId="0">
      <text>
        <r>
          <rPr>
            <b/>
            <sz val="8"/>
            <rFont val="Tahoma"/>
            <family val="0"/>
          </rPr>
          <t>mpontigo:</t>
        </r>
        <r>
          <rPr>
            <sz val="8"/>
            <rFont val="Tahoma"/>
            <family val="0"/>
          </rPr>
          <t xml:space="preserve">
Posicione en esta celda para descargar con: </t>
        </r>
        <r>
          <rPr>
            <i/>
            <sz val="8"/>
            <rFont val="Tahoma"/>
            <family val="2"/>
          </rPr>
          <t>Edición / Pegado especial / Valores.</t>
        </r>
      </text>
    </comment>
    <comment ref="B739" authorId="1">
      <text>
        <r>
          <rPr>
            <b/>
            <sz val="8"/>
            <rFont val="Tahoma"/>
            <family val="0"/>
          </rPr>
          <t>MPontigo:
Tome lod polinomios de la tabla 3 de la HE Tablas.</t>
        </r>
        <r>
          <rPr>
            <sz val="8"/>
            <rFont val="Tahoma"/>
            <family val="0"/>
          </rPr>
          <t xml:space="preserve">
</t>
        </r>
      </text>
    </comment>
  </commentList>
</comments>
</file>

<file path=xl/comments3.xml><?xml version="1.0" encoding="utf-8"?>
<comments xmlns="http://schemas.openxmlformats.org/spreadsheetml/2006/main">
  <authors>
    <author>mpontigo</author>
  </authors>
  <commentList>
    <comment ref="B9" authorId="0">
      <text>
        <r>
          <rPr>
            <b/>
            <sz val="8"/>
            <rFont val="Tahoma"/>
            <family val="0"/>
          </rPr>
          <t>mpontigo:</t>
        </r>
        <r>
          <rPr>
            <sz val="8"/>
            <rFont val="Tahoma"/>
            <family val="0"/>
          </rPr>
          <t xml:space="preserve">
Posicione en esta celda para descargar con: </t>
        </r>
        <r>
          <rPr>
            <i/>
            <sz val="8"/>
            <rFont val="Tahoma"/>
            <family val="2"/>
          </rPr>
          <t>Esición / Pegado Especial</t>
        </r>
        <r>
          <rPr>
            <sz val="8"/>
            <rFont val="Tahoma"/>
            <family val="0"/>
          </rPr>
          <t xml:space="preserve">  / Valores.</t>
        </r>
      </text>
    </comment>
    <comment ref="A98" authorId="0">
      <text>
        <r>
          <rPr>
            <b/>
            <sz val="8"/>
            <rFont val="Tahoma"/>
            <family val="0"/>
          </rPr>
          <t>mpontigo:
Inicie el sombreado en esta celda antes de activar opción ORDENAR</t>
        </r>
      </text>
    </comment>
    <comment ref="C183" authorId="0">
      <text>
        <r>
          <rPr>
            <b/>
            <sz val="8"/>
            <rFont val="Tahoma"/>
            <family val="0"/>
          </rPr>
          <t>mpontigo:</t>
        </r>
        <r>
          <rPr>
            <sz val="8"/>
            <rFont val="Tahoma"/>
            <family val="0"/>
          </rPr>
          <t xml:space="preserve">
Termine el sombreado en esta celda antes de activar opción ORDENAR</t>
        </r>
      </text>
    </comment>
    <comment ref="C311" authorId="0">
      <text>
        <r>
          <rPr>
            <b/>
            <sz val="8"/>
            <rFont val="Tahoma"/>
            <family val="0"/>
          </rPr>
          <t>mpontigo:</t>
        </r>
        <r>
          <rPr>
            <sz val="8"/>
            <rFont val="Tahoma"/>
            <family val="0"/>
          </rPr>
          <t xml:space="preserve">
Termine el sombreado en esta celda antes de activar opción ORDENAR</t>
        </r>
      </text>
    </comment>
    <comment ref="B385" authorId="0">
      <text>
        <r>
          <rPr>
            <b/>
            <sz val="8"/>
            <rFont val="Tahoma"/>
            <family val="0"/>
          </rPr>
          <t>mpontigo:</t>
        </r>
        <r>
          <rPr>
            <sz val="8"/>
            <rFont val="Tahoma"/>
            <family val="0"/>
          </rPr>
          <t xml:space="preserve">
Posicione en esta celda para descargar con: </t>
        </r>
        <r>
          <rPr>
            <i/>
            <sz val="8"/>
            <rFont val="Tahoma"/>
            <family val="2"/>
          </rPr>
          <t>Esición / Pegado Especial</t>
        </r>
        <r>
          <rPr>
            <sz val="8"/>
            <rFont val="Tahoma"/>
            <family val="0"/>
          </rPr>
          <t xml:space="preserve">  / Valores.</t>
        </r>
      </text>
    </comment>
    <comment ref="B595" authorId="0">
      <text>
        <r>
          <rPr>
            <b/>
            <sz val="8"/>
            <rFont val="Tahoma"/>
            <family val="0"/>
          </rPr>
          <t>mpontigo:</t>
        </r>
        <r>
          <rPr>
            <sz val="8"/>
            <rFont val="Tahoma"/>
            <family val="0"/>
          </rPr>
          <t xml:space="preserve">
Empiece el cobreado de las celdas para COPIAR.</t>
        </r>
      </text>
    </comment>
    <comment ref="E679" authorId="0">
      <text>
        <r>
          <rPr>
            <b/>
            <sz val="8"/>
            <rFont val="Tahoma"/>
            <family val="0"/>
          </rPr>
          <t>mpontigo:</t>
        </r>
        <r>
          <rPr>
            <sz val="8"/>
            <rFont val="Tahoma"/>
            <family val="0"/>
          </rPr>
          <t xml:space="preserve">
Termine el combreado y active la instrucción COPIAR.</t>
        </r>
      </text>
    </comment>
    <comment ref="C759" authorId="0">
      <text>
        <r>
          <rPr>
            <b/>
            <sz val="8"/>
            <rFont val="Tahoma"/>
            <family val="0"/>
          </rPr>
          <t>mpontigo:</t>
        </r>
        <r>
          <rPr>
            <sz val="8"/>
            <rFont val="Tahoma"/>
            <family val="0"/>
          </rPr>
          <t xml:space="preserve">
Posicione en esta celda para descargar con: </t>
        </r>
        <r>
          <rPr>
            <i/>
            <sz val="8"/>
            <rFont val="Tahoma"/>
            <family val="2"/>
          </rPr>
          <t>Edición / Pegado especial / Valores.</t>
        </r>
      </text>
    </comment>
  </commentList>
</comments>
</file>

<file path=xl/comments4.xml><?xml version="1.0" encoding="utf-8"?>
<comments xmlns="http://schemas.openxmlformats.org/spreadsheetml/2006/main">
  <authors>
    <author>mpontigo</author>
  </authors>
  <commentList>
    <comment ref="B16" authorId="0">
      <text>
        <r>
          <rPr>
            <b/>
            <sz val="8"/>
            <rFont val="Tahoma"/>
            <family val="0"/>
          </rPr>
          <t>mpontigo:</t>
        </r>
        <r>
          <rPr>
            <sz val="8"/>
            <rFont val="Tahoma"/>
            <family val="0"/>
          </rPr>
          <t xml:space="preserve">
Inicie el sombreado en esta celda
</t>
        </r>
      </text>
    </comment>
    <comment ref="C100" authorId="0">
      <text>
        <r>
          <rPr>
            <b/>
            <sz val="8"/>
            <rFont val="Tahoma"/>
            <family val="0"/>
          </rPr>
          <t>mpontigo:</t>
        </r>
        <r>
          <rPr>
            <sz val="8"/>
            <rFont val="Tahoma"/>
            <family val="0"/>
          </rPr>
          <t xml:space="preserve">
Termine el sombreado en esta celda y active opción PEGAR.</t>
        </r>
      </text>
    </comment>
    <comment ref="B118" authorId="0">
      <text>
        <r>
          <rPr>
            <b/>
            <sz val="8"/>
            <rFont val="Tahoma"/>
            <family val="0"/>
          </rPr>
          <t>mpontigo:</t>
        </r>
        <r>
          <rPr>
            <sz val="8"/>
            <rFont val="Tahoma"/>
            <family val="0"/>
          </rPr>
          <t xml:space="preserve">
Empiece el cobreado de las celdas para COPIAR.</t>
        </r>
      </text>
    </comment>
    <comment ref="E202" authorId="0">
      <text>
        <r>
          <rPr>
            <b/>
            <sz val="8"/>
            <rFont val="Tahoma"/>
            <family val="0"/>
          </rPr>
          <t>mpontigo:</t>
        </r>
        <r>
          <rPr>
            <sz val="8"/>
            <rFont val="Tahoma"/>
            <family val="0"/>
          </rPr>
          <t xml:space="preserve">
Termine el combreado y active la instrucción COPIAR.</t>
        </r>
      </text>
    </comment>
    <comment ref="C219" authorId="0">
      <text>
        <r>
          <rPr>
            <b/>
            <sz val="8"/>
            <rFont val="Tahoma"/>
            <family val="0"/>
          </rPr>
          <t>mpontigo:</t>
        </r>
        <r>
          <rPr>
            <sz val="8"/>
            <rFont val="Tahoma"/>
            <family val="0"/>
          </rPr>
          <t xml:space="preserve">
Posicione en esta celda para iniciar el sombreado para copiar.</t>
        </r>
      </text>
    </comment>
    <comment ref="C278" authorId="0">
      <text>
        <r>
          <rPr>
            <b/>
            <sz val="8"/>
            <rFont val="Tahoma"/>
            <family val="0"/>
          </rPr>
          <t>mpontigo:</t>
        </r>
        <r>
          <rPr>
            <sz val="8"/>
            <rFont val="Tahoma"/>
            <family val="0"/>
          </rPr>
          <t xml:space="preserve">
termine en esta celda el sombreado y indique instrucción de COPIAR</t>
        </r>
      </text>
    </comment>
    <comment ref="B295" authorId="0">
      <text>
        <r>
          <rPr>
            <b/>
            <sz val="8"/>
            <rFont val="Tahoma"/>
            <family val="0"/>
          </rPr>
          <t>mpontigo:</t>
        </r>
        <r>
          <rPr>
            <sz val="8"/>
            <rFont val="Tahoma"/>
            <family val="0"/>
          </rPr>
          <t xml:space="preserve">
Posicione en esta celda para iniciar el sombreado para copiar.</t>
        </r>
      </text>
    </comment>
    <comment ref="C324" authorId="0">
      <text>
        <r>
          <rPr>
            <b/>
            <sz val="8"/>
            <rFont val="Tahoma"/>
            <family val="0"/>
          </rPr>
          <t>mpontigo:</t>
        </r>
        <r>
          <rPr>
            <sz val="8"/>
            <rFont val="Tahoma"/>
            <family val="0"/>
          </rPr>
          <t xml:space="preserve">
Detenga el sombreado para cipiar en esta celda y active la instrucción COPIAR.</t>
        </r>
      </text>
    </comment>
  </commentList>
</comments>
</file>

<file path=xl/sharedStrings.xml><?xml version="1.0" encoding="utf-8"?>
<sst xmlns="http://schemas.openxmlformats.org/spreadsheetml/2006/main" count="1306" uniqueCount="389">
  <si>
    <t>G_01. Caso de ambas variables aleatorias</t>
  </si>
  <si>
    <t>Digitado</t>
  </si>
  <si>
    <t>Calculado</t>
  </si>
  <si>
    <t>Promedio de Estatura de los padres 1,67</t>
  </si>
  <si>
    <t>Promedio de Estatura de los hijos 1,68</t>
  </si>
  <si>
    <t>Pendiente</t>
  </si>
  <si>
    <t>Coeficiente de determinación</t>
  </si>
  <si>
    <t>Digite 1 para generar los datos</t>
  </si>
  <si>
    <t>Estatura</t>
  </si>
  <si>
    <t>Nº</t>
  </si>
  <si>
    <t>Padres</t>
  </si>
  <si>
    <t>Hijos</t>
  </si>
  <si>
    <t>P</t>
  </si>
  <si>
    <t>H</t>
  </si>
  <si>
    <t>p.padres</t>
  </si>
  <si>
    <t>G_02. Problema de Correlación.</t>
  </si>
  <si>
    <t>Correlación: Estatura Peso</t>
  </si>
  <si>
    <t>Parámetrizando el modelo</t>
  </si>
  <si>
    <t>Digitar</t>
  </si>
  <si>
    <t>Promedios</t>
  </si>
  <si>
    <t>Peso Promedio de los Padres 64</t>
  </si>
  <si>
    <t>Promedio de Estatura de los hijos 66</t>
  </si>
  <si>
    <t>X1 = E. Padres</t>
  </si>
  <si>
    <t>X2 = P. Padres</t>
  </si>
  <si>
    <t>X3 = E. Hijos</t>
  </si>
  <si>
    <t>X4 = P.Hijos</t>
  </si>
  <si>
    <t>G_03. La variable X es un factor.</t>
  </si>
  <si>
    <t>Estadísticos</t>
  </si>
  <si>
    <t>Parámetros</t>
  </si>
  <si>
    <t>Pendientes bi</t>
  </si>
  <si>
    <t>Polimnomios: Se compara + con -</t>
  </si>
  <si>
    <t>Promedio de rendimiento 28 Kg.</t>
  </si>
  <si>
    <t>Crece el linea recta b1 = +0,08</t>
  </si>
  <si>
    <t>Aumenta en b2 = 45 y 105</t>
  </si>
  <si>
    <t>Aumenta en b3 = 60 y 105</t>
  </si>
  <si>
    <t>Aumenta en b4 = 45, 75, 105</t>
  </si>
  <si>
    <t>Digite 1 para generar</t>
  </si>
  <si>
    <t>Andeva</t>
  </si>
  <si>
    <t>Número de</t>
  </si>
  <si>
    <t>Distancia</t>
  </si>
  <si>
    <t>Rendimiento</t>
  </si>
  <si>
    <t>Fuente</t>
  </si>
  <si>
    <t>SC.</t>
  </si>
  <si>
    <t>GL.</t>
  </si>
  <si>
    <t>CM</t>
  </si>
  <si>
    <t>FC</t>
  </si>
  <si>
    <t>Pr(Fc)</t>
  </si>
  <si>
    <t>Repetición</t>
  </si>
  <si>
    <t>E. Surcos</t>
  </si>
  <si>
    <t>Kg / Parcela</t>
  </si>
  <si>
    <t>Total</t>
  </si>
  <si>
    <t>D. Siembra</t>
  </si>
  <si>
    <t>Rendimento</t>
  </si>
  <si>
    <t>X1</t>
  </si>
  <si>
    <t>X2</t>
  </si>
  <si>
    <t>X3</t>
  </si>
  <si>
    <t>X4</t>
  </si>
  <si>
    <t>Error</t>
  </si>
  <si>
    <t>G_51. Ejemplo de anualidades.</t>
  </si>
  <si>
    <t>Vivienda</t>
  </si>
  <si>
    <t>Gobierno</t>
  </si>
  <si>
    <t>Intersectadas: -6686 y -64307</t>
  </si>
  <si>
    <t>Pendientes: 3,40 y 32,65</t>
  </si>
  <si>
    <t>Coeficiente de determinación: 0,7086 y 0,6546</t>
  </si>
  <si>
    <t>Digite 1 para generar datos</t>
  </si>
  <si>
    <t xml:space="preserve">Inversión en </t>
  </si>
  <si>
    <t>Inversión en</t>
  </si>
  <si>
    <t>Privada en</t>
  </si>
  <si>
    <t>Constrocción</t>
  </si>
  <si>
    <t>Pública</t>
  </si>
  <si>
    <t>Año</t>
  </si>
  <si>
    <t>(Millares)</t>
  </si>
  <si>
    <t>(Millones)</t>
  </si>
  <si>
    <t>D_07. Caso de ambas variables aleatorias</t>
  </si>
  <si>
    <t>Datos de trabajo</t>
  </si>
  <si>
    <t>Datos clasificados para el diagrama de dispersión.</t>
  </si>
  <si>
    <t>Cálculo de la pendiente a mano alzada.</t>
  </si>
  <si>
    <t>D_9.  Diagrama de Dispersión</t>
  </si>
  <si>
    <t>Y i + 1</t>
  </si>
  <si>
    <t>Y i</t>
  </si>
  <si>
    <t>X i + 1</t>
  </si>
  <si>
    <t>X i</t>
  </si>
  <si>
    <t>b1 =Pendiente</t>
  </si>
  <si>
    <t>Interceptada</t>
  </si>
  <si>
    <t>D_11. El Modelo con la HE:</t>
  </si>
  <si>
    <t>Diferencia</t>
  </si>
  <si>
    <t>Cuadrados d</t>
  </si>
  <si>
    <t>Estimada H</t>
  </si>
  <si>
    <t>d</t>
  </si>
  <si>
    <t>d²</t>
  </si>
  <si>
    <t>Sumas</t>
  </si>
  <si>
    <t>D_14. Estadística Descriptiva</t>
  </si>
  <si>
    <t>Media</t>
  </si>
  <si>
    <t>Error típico</t>
  </si>
  <si>
    <t>Mediana</t>
  </si>
  <si>
    <t>Moda</t>
  </si>
  <si>
    <t>Desviación estándar</t>
  </si>
  <si>
    <t>Varianza de la muestra</t>
  </si>
  <si>
    <t>Suma de Cuadrados</t>
  </si>
  <si>
    <t>Curtosis</t>
  </si>
  <si>
    <t>Coeficiente de asimetría</t>
  </si>
  <si>
    <t>Rango</t>
  </si>
  <si>
    <t>Mínimo</t>
  </si>
  <si>
    <t>Máximo</t>
  </si>
  <si>
    <t>Suma</t>
  </si>
  <si>
    <t>Cuenta</t>
  </si>
  <si>
    <t>Calculando SCR</t>
  </si>
  <si>
    <t>Coeficiente de la pendiente</t>
  </si>
  <si>
    <t>Suma Cuadrados de X</t>
  </si>
  <si>
    <t>D_16. La Suma de Cuadrados de Regresión</t>
  </si>
  <si>
    <t>Ec. Suma de Cuadrados</t>
  </si>
  <si>
    <t>SCRegresión</t>
  </si>
  <si>
    <t>SCError</t>
  </si>
  <si>
    <t>Suma de</t>
  </si>
  <si>
    <t>Grados de</t>
  </si>
  <si>
    <t>Cuadrado</t>
  </si>
  <si>
    <t>Cuadrados</t>
  </si>
  <si>
    <t>Libertad</t>
  </si>
  <si>
    <t>Medio</t>
  </si>
  <si>
    <t>De Regresión</t>
  </si>
  <si>
    <t>Del Error</t>
  </si>
  <si>
    <t>F</t>
  </si>
  <si>
    <t>Probabiulidad</t>
  </si>
  <si>
    <t>para F</t>
  </si>
  <si>
    <t>Valores Críticos</t>
  </si>
  <si>
    <t>Origen de</t>
  </si>
  <si>
    <t>la variación</t>
  </si>
  <si>
    <t>Estadístico</t>
  </si>
  <si>
    <t>P(0,05)</t>
  </si>
  <si>
    <t>P(0,01)</t>
  </si>
  <si>
    <t>Productos</t>
  </si>
  <si>
    <t>Cruzados</t>
  </si>
  <si>
    <t>de X</t>
  </si>
  <si>
    <t>de Y</t>
  </si>
  <si>
    <t>Número</t>
  </si>
  <si>
    <t>De Y</t>
  </si>
  <si>
    <t>De X</t>
  </si>
  <si>
    <t>Productos XY</t>
  </si>
  <si>
    <t>Promedio</t>
  </si>
  <si>
    <t>Corrector por la media</t>
  </si>
  <si>
    <t>Sumas Cuadraticas</t>
  </si>
  <si>
    <t>Sumas de Cuadrados</t>
  </si>
  <si>
    <t>D_20.  Cálculos para el ANDEVA paso a paso</t>
  </si>
  <si>
    <t>Fuente de la</t>
  </si>
  <si>
    <t>Sumas de</t>
  </si>
  <si>
    <t>Cociente de</t>
  </si>
  <si>
    <t>Probabilidad</t>
  </si>
  <si>
    <t>Valores Críticos de F</t>
  </si>
  <si>
    <t>Variación</t>
  </si>
  <si>
    <t>Medios</t>
  </si>
  <si>
    <t>Fc.</t>
  </si>
  <si>
    <t>de F</t>
  </si>
  <si>
    <t>P &lt; 0,05</t>
  </si>
  <si>
    <t>P &lt; 0,01</t>
  </si>
  <si>
    <t>Regresión</t>
  </si>
  <si>
    <t>Error (o Residual)</t>
  </si>
  <si>
    <t>Promedio de Y</t>
  </si>
  <si>
    <t>Desvío Estándar</t>
  </si>
  <si>
    <t>Coeficiente Variación</t>
  </si>
  <si>
    <t>Coeficiente Determinación</t>
  </si>
  <si>
    <t>Valor t Calculada</t>
  </si>
  <si>
    <t>Probabilidad de tc</t>
  </si>
  <si>
    <t>Coeficiente Interceptada</t>
  </si>
  <si>
    <t>Desvío Típico para B0</t>
  </si>
  <si>
    <t>Desvío Estándadar</t>
  </si>
  <si>
    <t>tamaño de muestra</t>
  </si>
  <si>
    <t>Promedio de x</t>
  </si>
  <si>
    <t>SCX</t>
  </si>
  <si>
    <t>D_22. Prueba de Hipótesis para la Interceptada</t>
  </si>
  <si>
    <t>Límite Inferior</t>
  </si>
  <si>
    <t>Límite Superior</t>
  </si>
  <si>
    <t>Valor T(0,05;83)</t>
  </si>
  <si>
    <t>D_23. Intervalo confiable 95% para la Interceptada</t>
  </si>
  <si>
    <t>Desvío Estándar de B0</t>
  </si>
  <si>
    <t>Desvío Típico para B1</t>
  </si>
  <si>
    <t>Probabilidad del intervalo</t>
  </si>
  <si>
    <t>Valor T(0,01;83)</t>
  </si>
  <si>
    <t>Desvío Típico para bo</t>
  </si>
  <si>
    <t>Observaciones</t>
  </si>
  <si>
    <t>Mínimo de X</t>
  </si>
  <si>
    <t>Máximo de X</t>
  </si>
  <si>
    <t>Recorrido de X</t>
  </si>
  <si>
    <t>Incremento</t>
  </si>
  <si>
    <t>Coeficiente de Interceptada</t>
  </si>
  <si>
    <t>Coeficiente de la Pendiente</t>
  </si>
  <si>
    <t>Probabilidad del Intervalo 95%</t>
  </si>
  <si>
    <t>Valor de t</t>
  </si>
  <si>
    <t>Promedio de X</t>
  </si>
  <si>
    <t>Suma de Cuadrados de X</t>
  </si>
  <si>
    <t>BANDAS DE CONFIANZA 95%.</t>
  </si>
  <si>
    <t>Valor de X</t>
  </si>
  <si>
    <t>O. Inferior</t>
  </si>
  <si>
    <t>P. Inferior</t>
  </si>
  <si>
    <t>Y Estimado</t>
  </si>
  <si>
    <t>P. Superior</t>
  </si>
  <si>
    <t>O. Superior</t>
  </si>
  <si>
    <t>Desviación Estándar de X1 =</t>
  </si>
  <si>
    <t>Desviación Estándar de X2 =</t>
  </si>
  <si>
    <t>Coeficiente de Correlación X1-X2</t>
  </si>
  <si>
    <t>Coeficiente de Regresión</t>
  </si>
  <si>
    <t>Comprobando con función PENDIENTE()</t>
  </si>
  <si>
    <t>Promedio de X1 = Y</t>
  </si>
  <si>
    <t>Promedio de X2 = X</t>
  </si>
  <si>
    <t>Coeficiente de Correlación</t>
  </si>
  <si>
    <t>Tratamiento 1</t>
  </si>
  <si>
    <t>Tratamiento 2</t>
  </si>
  <si>
    <t>Tratamiento 3</t>
  </si>
  <si>
    <t>Tratamiento 4</t>
  </si>
  <si>
    <t>Tratamiento 5</t>
  </si>
  <si>
    <t>Tratamiento</t>
  </si>
  <si>
    <t>Factor</t>
  </si>
  <si>
    <t>Divisor</t>
  </si>
  <si>
    <t>Polinómio</t>
  </si>
  <si>
    <t>D_40. CASO EN QUE X ES UN FACTOR</t>
  </si>
  <si>
    <t>POLINOMIOS ORTOGONALES</t>
  </si>
  <si>
    <t>Resumen</t>
  </si>
  <si>
    <t>Estadísticas de la regresión</t>
  </si>
  <si>
    <t>Coeficiente de correlación múltiple</t>
  </si>
  <si>
    <t>Coeficiente de determinación R^2</t>
  </si>
  <si>
    <t>R^2  ajustado</t>
  </si>
  <si>
    <t>ANÁLISIS DE VARIANZA</t>
  </si>
  <si>
    <t>Residuos</t>
  </si>
  <si>
    <t>Intercepción</t>
  </si>
  <si>
    <t>Coeficientes</t>
  </si>
  <si>
    <t>Estadístico t</t>
  </si>
  <si>
    <t>Inferior 95%</t>
  </si>
  <si>
    <t>Superior 95%</t>
  </si>
  <si>
    <t>Promedio de</t>
  </si>
  <si>
    <t>los Cuadrados</t>
  </si>
  <si>
    <t>Lineal</t>
  </si>
  <si>
    <t>Cuadrático</t>
  </si>
  <si>
    <t>Cúbico</t>
  </si>
  <si>
    <t>Cuártico</t>
  </si>
  <si>
    <t>Nivel de Factor</t>
  </si>
  <si>
    <t>Tratamiento o</t>
  </si>
  <si>
    <t>Pendientes</t>
  </si>
  <si>
    <t>Coeficentes de Determinación</t>
  </si>
  <si>
    <t>Efectos:</t>
  </si>
  <si>
    <t xml:space="preserve">  Lineal</t>
  </si>
  <si>
    <t xml:space="preserve">  Cuadrático</t>
  </si>
  <si>
    <t xml:space="preserve">  Cúbico</t>
  </si>
  <si>
    <t xml:space="preserve">  Cuártico</t>
  </si>
  <si>
    <t>Modelo de Regresión</t>
  </si>
  <si>
    <t>Significancia</t>
  </si>
  <si>
    <t>""</t>
  </si>
  <si>
    <t>Promedios Esp.</t>
  </si>
  <si>
    <t>Parcela</t>
  </si>
  <si>
    <t>Ha</t>
  </si>
  <si>
    <t>SX²</t>
  </si>
  <si>
    <t>Tratamientos</t>
  </si>
  <si>
    <t>Estimado</t>
  </si>
  <si>
    <t>TM/Ha</t>
  </si>
  <si>
    <t>Valor Lambda óptimo</t>
  </si>
  <si>
    <t>Óptimo en terminos de X</t>
  </si>
  <si>
    <t>Valor Lambda Cuadratico</t>
  </si>
  <si>
    <t>Rendimiento Óptimo</t>
  </si>
  <si>
    <t>Gasto en</t>
  </si>
  <si>
    <t>Construcción</t>
  </si>
  <si>
    <t>I. Vivienda</t>
  </si>
  <si>
    <t>G. Público</t>
  </si>
  <si>
    <t>Grados de Libertad</t>
  </si>
  <si>
    <t>Probabilidad de F</t>
  </si>
  <si>
    <t>Gasto cons.</t>
  </si>
  <si>
    <t>Estadítico</t>
  </si>
  <si>
    <t>Años</t>
  </si>
  <si>
    <t>Número de años del estudio</t>
  </si>
  <si>
    <t>Desviaciones Estándar</t>
  </si>
  <si>
    <t>G. Gobierno</t>
  </si>
  <si>
    <t xml:space="preserve"> -------</t>
  </si>
  <si>
    <t>Inversión en Vivienda</t>
  </si>
  <si>
    <t>Gasto del Gobierno</t>
  </si>
  <si>
    <t>Tasa estandarizada de Inversión en Vivienda</t>
  </si>
  <si>
    <t>Tasa estandarizada de casto de construcción del gobieno</t>
  </si>
  <si>
    <t>VARIABLE X</t>
  </si>
  <si>
    <t>Variable Y</t>
  </si>
  <si>
    <t>Transfor.</t>
  </si>
  <si>
    <t>Para Graficar</t>
  </si>
  <si>
    <t>Índice medio 1983-1987</t>
  </si>
  <si>
    <t>Indices para</t>
  </si>
  <si>
    <t>Intersectada</t>
  </si>
  <si>
    <t>Coef. Determinación</t>
  </si>
  <si>
    <t>Cociente de F</t>
  </si>
  <si>
    <t>Probabilidad F</t>
  </si>
  <si>
    <t>Estimados para</t>
  </si>
  <si>
    <t>Modelos para los Indices</t>
  </si>
  <si>
    <t>E.I. Vivienda</t>
  </si>
  <si>
    <t>E.G. Público</t>
  </si>
  <si>
    <t>D_12. Obteniendo la línea de regresión y la suma de cuadrados del error</t>
  </si>
  <si>
    <t>D_13. La Línea de Mejor Ajuste</t>
  </si>
  <si>
    <t>D_19. El Cuadro del ANDEVA.</t>
  </si>
  <si>
    <t>Cálculo del ANDEVA paso a paso. Método Antiguo.</t>
  </si>
  <si>
    <t>D_21. Objetivos del ANDEVA</t>
  </si>
  <si>
    <t>Cuadro de ANDEVA completo</t>
  </si>
  <si>
    <t>D_24, Prueba de Hipótesis sobre la pendiente</t>
  </si>
  <si>
    <t>D_25. Intervalo confiable 95% para la Pendiente</t>
  </si>
  <si>
    <t>D_27.   Bandas de Confianza.</t>
  </si>
  <si>
    <t>D_29. Tabla de las Bandas de Confianza 95%</t>
  </si>
  <si>
    <t>D_30.  Gráfico de las Bandas de Confianza.</t>
  </si>
  <si>
    <t>D_31. Correlación</t>
  </si>
  <si>
    <t>D_34.  Cálculo de los Coeficientes de Correlación</t>
  </si>
  <si>
    <t>D_35. Estadísticos de F para la prueba de Ho; r = 0</t>
  </si>
  <si>
    <t>D_36.  Valorando las pruebas; Probabilidad para la hipótesis r = 0.</t>
  </si>
  <si>
    <t>Obteniendo el coeficiente de regresión de (X1 = Y1) con X2</t>
  </si>
  <si>
    <t>Obteniendo el coeficiente de correlación de (X1 = Y1) con X2</t>
  </si>
  <si>
    <t>D_39.  Relación con el coeficiente de Regresión</t>
  </si>
  <si>
    <t>Mínimo X1</t>
  </si>
  <si>
    <t>D_43.  Polinomios de grado superior.</t>
  </si>
  <si>
    <t>Tratamientos (F)</t>
  </si>
  <si>
    <t>D_44.  Las Sumas de Cuadrados</t>
  </si>
  <si>
    <t>D_45. Análisis de la Varianza Completo: ANDEVA.</t>
  </si>
  <si>
    <t>D_46. Análisis del Efecto Lineal.</t>
  </si>
  <si>
    <t>47_ Análisis del Efecto Cuadrático</t>
  </si>
  <si>
    <t>b1</t>
  </si>
  <si>
    <t>b2</t>
  </si>
  <si>
    <t>b3</t>
  </si>
  <si>
    <t>D48. Análisis del Efecto Cúbico.</t>
  </si>
  <si>
    <t>b4</t>
  </si>
  <si>
    <t>D_49.  Análisis del Efecto Cuártico</t>
  </si>
  <si>
    <t>D_50. Promedios Significativos Integrados.</t>
  </si>
  <si>
    <t>D_51.  Representación Gráfica de Promedios Significativos.</t>
  </si>
  <si>
    <t>D_52.  La Rutina de Calculo directo en la HE.</t>
  </si>
  <si>
    <t>D_54. Análisis de las Toneladas por Hectárea.</t>
  </si>
  <si>
    <t>Obtención del punto de máximo rendimiento y el máximo estimado.</t>
  </si>
  <si>
    <t>Pr. Est.</t>
  </si>
  <si>
    <t>D_55. EJEMPLO EN DONDE LA VARIABLE X ESTÁ DADA.</t>
  </si>
  <si>
    <t>D_58.  La Correlación.</t>
  </si>
  <si>
    <t>Los Coeficientes de regresión</t>
  </si>
  <si>
    <t>D_59. Las Tasas de Crecimiento o Coeficientes de regresión.</t>
  </si>
  <si>
    <t>D_60. Las Tasasa Estandarizadas.</t>
  </si>
  <si>
    <t>D_61. Datos para la Representación Gráfica de tasas estandarizadas y Figura.</t>
  </si>
  <si>
    <t>D_62.  Indexando las variables con el ídice medio de 1983 a 1987</t>
  </si>
  <si>
    <t>D_63.  Los modelos para los índices y Grñafico.</t>
  </si>
  <si>
    <t>FIN DE ARCHIVO.</t>
  </si>
  <si>
    <t>X Cuadrado</t>
  </si>
  <si>
    <t>,</t>
  </si>
  <si>
    <t>Digitados</t>
  </si>
  <si>
    <t>Estimados</t>
  </si>
  <si>
    <t>Distribición t de Student; valores críticos</t>
  </si>
  <si>
    <t>Probabilidad de dos colas</t>
  </si>
  <si>
    <t>Distribución de F. Valores críticos</t>
  </si>
  <si>
    <t>GRADOS DE LIBERTAD PARA LA VARIANZA DEL NUMERADOR</t>
  </si>
  <si>
    <t>GL. Denom.</t>
  </si>
  <si>
    <t>Tabla de Polinomios Ortogonales.</t>
  </si>
  <si>
    <t>n = 3</t>
  </si>
  <si>
    <t>n = 4</t>
  </si>
  <si>
    <t>n = 5</t>
  </si>
  <si>
    <t>n = 6</t>
  </si>
  <si>
    <t>X5</t>
  </si>
  <si>
    <t xml:space="preserve"> 10/3</t>
  </si>
  <si>
    <t xml:space="preserve"> 5/6</t>
  </si>
  <si>
    <t xml:space="preserve"> 35/12</t>
  </si>
  <si>
    <t xml:space="preserve"> 3/2</t>
  </si>
  <si>
    <t xml:space="preserve"> 5/3</t>
  </si>
  <si>
    <t xml:space="preserve"> 7/12</t>
  </si>
  <si>
    <t xml:space="preserve"> 21/10</t>
  </si>
  <si>
    <t>n = 7</t>
  </si>
  <si>
    <t>n = 8</t>
  </si>
  <si>
    <t>n = 9</t>
  </si>
  <si>
    <t xml:space="preserve"> 1/6</t>
  </si>
  <si>
    <t xml:space="preserve"> 7/20</t>
  </si>
  <si>
    <t xml:space="preserve"> 2/3</t>
  </si>
  <si>
    <t xml:space="preserve"> 7/10</t>
  </si>
  <si>
    <t xml:space="preserve"> 3/20</t>
  </si>
  <si>
    <t>n = 10</t>
  </si>
  <si>
    <t>n = 11</t>
  </si>
  <si>
    <t>n = 12</t>
  </si>
  <si>
    <t xml:space="preserve"> 1/2</t>
  </si>
  <si>
    <t xml:space="preserve"> 5/12</t>
  </si>
  <si>
    <t xml:space="preserve"> 1/10</t>
  </si>
  <si>
    <t xml:space="preserve"> 1/12</t>
  </si>
  <si>
    <t xml:space="preserve"> 1/40</t>
  </si>
  <si>
    <t xml:space="preserve"> 7/24</t>
  </si>
  <si>
    <t>Sumas}</t>
  </si>
  <si>
    <t>Para</t>
  </si>
  <si>
    <t>Graficar</t>
  </si>
  <si>
    <t>X para</t>
  </si>
  <si>
    <t>Probabilidades</t>
  </si>
  <si>
    <t>Grados de libertad para el error</t>
  </si>
  <si>
    <t>Coeficiente de correlación X1 &amp; X2</t>
  </si>
  <si>
    <t>SC Numerador</t>
  </si>
  <si>
    <t>SC Denominador</t>
  </si>
  <si>
    <t>Probabilidad de t</t>
  </si>
  <si>
    <t>10.55</t>
  </si>
  <si>
    <t>Regresión en donde x se determina.</t>
  </si>
  <si>
    <t>Grados de libertad</t>
  </si>
  <si>
    <t>Coefiente de determinación</t>
  </si>
  <si>
    <t>SC Regresión</t>
  </si>
  <si>
    <t>SC Error</t>
  </si>
  <si>
    <t>Estadístico F</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</si>
</sst>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0"/>
    <numFmt numFmtId="173" formatCode="0.0000"/>
    <numFmt numFmtId="174" formatCode="0.0000000"/>
    <numFmt numFmtId="175" formatCode="0.00000"/>
    <numFmt numFmtId="176" formatCode="0.0"/>
    <numFmt numFmtId="177" formatCode="0.000000"/>
    <numFmt numFmtId="178" formatCode="0.0000E+00"/>
    <numFmt numFmtId="179" formatCode="0.00000E+00"/>
    <numFmt numFmtId="180" formatCode="0.000000E+00"/>
    <numFmt numFmtId="181" formatCode="0.000E+00"/>
    <numFmt numFmtId="182" formatCode="#,##0.0000"/>
    <numFmt numFmtId="183" formatCode="#,##0.00000"/>
    <numFmt numFmtId="184" formatCode="#,##0.000"/>
    <numFmt numFmtId="185" formatCode="#,##0.0"/>
    <numFmt numFmtId="186" formatCode="0.00000000"/>
  </numFmts>
  <fonts count="53">
    <font>
      <sz val="10"/>
      <name val="Arial"/>
      <family val="0"/>
    </font>
    <font>
      <b/>
      <sz val="18"/>
      <color indexed="51"/>
      <name val="Times New Roman"/>
      <family val="1"/>
    </font>
    <font>
      <b/>
      <sz val="10"/>
      <color indexed="51"/>
      <name val="Arial"/>
      <family val="2"/>
    </font>
    <font>
      <sz val="14"/>
      <color indexed="51"/>
      <name val="Times New Roman"/>
      <family val="1"/>
    </font>
    <font>
      <b/>
      <sz val="8"/>
      <color indexed="10"/>
      <name val="Arial"/>
      <family val="2"/>
    </font>
    <font>
      <b/>
      <sz val="10"/>
      <color indexed="10"/>
      <name val="Arial"/>
      <family val="2"/>
    </font>
    <font>
      <sz val="8"/>
      <name val="Arial"/>
      <family val="2"/>
    </font>
    <font>
      <b/>
      <sz val="8"/>
      <name val="Tahoma"/>
      <family val="0"/>
    </font>
    <font>
      <sz val="8"/>
      <name val="Tahoma"/>
      <family val="0"/>
    </font>
    <font>
      <b/>
      <i/>
      <sz val="8"/>
      <color indexed="10"/>
      <name val="Arial"/>
      <family val="2"/>
    </font>
    <font>
      <b/>
      <sz val="10"/>
      <color indexed="17"/>
      <name val="Arial"/>
      <family val="2"/>
    </font>
    <font>
      <i/>
      <sz val="8"/>
      <name val="Tahoma"/>
      <family val="2"/>
    </font>
    <font>
      <b/>
      <sz val="16.5"/>
      <name val="Arial"/>
      <family val="0"/>
    </font>
    <font>
      <b/>
      <sz val="12"/>
      <name val="Arial"/>
      <family val="0"/>
    </font>
    <font>
      <b/>
      <sz val="10.25"/>
      <name val="Arial"/>
      <family val="2"/>
    </font>
    <font>
      <sz val="12"/>
      <name val="Arial"/>
      <family val="0"/>
    </font>
    <font>
      <b/>
      <sz val="9.25"/>
      <name val="Arial"/>
      <family val="2"/>
    </font>
    <font>
      <b/>
      <sz val="8.25"/>
      <color indexed="12"/>
      <name val="Arial"/>
      <family val="2"/>
    </font>
    <font>
      <b/>
      <sz val="10"/>
      <name val="Arial"/>
      <family val="2"/>
    </font>
    <font>
      <u val="single"/>
      <sz val="10"/>
      <color indexed="12"/>
      <name val="Arial"/>
      <family val="0"/>
    </font>
    <font>
      <b/>
      <sz val="11.5"/>
      <name val="Arial"/>
      <family val="0"/>
    </font>
    <font>
      <u val="single"/>
      <sz val="10"/>
      <color indexed="36"/>
      <name val="Arial"/>
      <family val="0"/>
    </font>
    <font>
      <sz val="11.5"/>
      <name val="Arial"/>
      <family val="0"/>
    </font>
    <font>
      <i/>
      <sz val="8"/>
      <name val="Arial"/>
      <family val="2"/>
    </font>
    <font>
      <sz val="9"/>
      <name val="Arial"/>
      <family val="2"/>
    </font>
    <font>
      <b/>
      <sz val="10"/>
      <color indexed="57"/>
      <name val="Arial"/>
      <family val="2"/>
    </font>
    <font>
      <b/>
      <sz val="8"/>
      <name val="Arial"/>
      <family val="2"/>
    </font>
    <font>
      <b/>
      <sz val="8.25"/>
      <name val="Arial"/>
      <family val="2"/>
    </font>
    <font>
      <sz val="8.25"/>
      <name val="Arial"/>
      <family val="2"/>
    </font>
    <font>
      <b/>
      <sz val="16.25"/>
      <name val="Arial"/>
      <family val="0"/>
    </font>
    <font>
      <i/>
      <sz val="10"/>
      <name val="Arial"/>
      <family val="0"/>
    </font>
    <font>
      <sz val="10.5"/>
      <name val="Arial"/>
      <family val="0"/>
    </font>
    <font>
      <b/>
      <sz val="11.25"/>
      <name val="Arial"/>
      <family val="2"/>
    </font>
    <font>
      <b/>
      <sz val="11"/>
      <name val="Arial"/>
      <family val="0"/>
    </font>
    <font>
      <sz val="11"/>
      <name val="Arial"/>
      <family val="0"/>
    </font>
    <font>
      <b/>
      <sz val="10.5"/>
      <name val="Arial"/>
      <family val="0"/>
    </font>
    <font>
      <sz val="11.25"/>
      <name val="Arial"/>
      <family val="0"/>
    </font>
    <font>
      <sz val="14.5"/>
      <name val="Arial"/>
      <family val="0"/>
    </font>
    <font>
      <b/>
      <sz val="10"/>
      <color indexed="13"/>
      <name val="Arial"/>
      <family val="2"/>
    </font>
    <font>
      <sz val="22"/>
      <color indexed="51"/>
      <name val="Times New Roman"/>
      <family val="1"/>
    </font>
    <font>
      <b/>
      <sz val="10"/>
      <color indexed="47"/>
      <name val="Arial"/>
      <family val="2"/>
    </font>
    <font>
      <sz val="20"/>
      <color indexed="13"/>
      <name val="Arial"/>
      <family val="2"/>
    </font>
    <font>
      <b/>
      <sz val="14"/>
      <color indexed="13"/>
      <name val="Arial"/>
      <family val="2"/>
    </font>
    <font>
      <b/>
      <sz val="8.5"/>
      <name val="Arial"/>
      <family val="2"/>
    </font>
    <font>
      <b/>
      <sz val="11.75"/>
      <name val="Arial"/>
      <family val="2"/>
    </font>
    <font>
      <b/>
      <sz val="14"/>
      <color indexed="17"/>
      <name val="Arial"/>
      <family val="2"/>
    </font>
    <font>
      <b/>
      <i/>
      <sz val="8"/>
      <name val="Arial"/>
      <family val="2"/>
    </font>
    <font>
      <b/>
      <sz val="8"/>
      <color indexed="17"/>
      <name val="Arial"/>
      <family val="2"/>
    </font>
    <font>
      <b/>
      <sz val="20"/>
      <color indexed="17"/>
      <name val="Arial"/>
      <family val="2"/>
    </font>
    <font>
      <sz val="10"/>
      <color indexed="9"/>
      <name val="Arial"/>
      <family val="0"/>
    </font>
    <font>
      <sz val="8"/>
      <color indexed="9"/>
      <name val="Arial"/>
      <family val="0"/>
    </font>
    <font>
      <b/>
      <sz val="9"/>
      <name val="Arial"/>
      <family val="2"/>
    </font>
    <font>
      <b/>
      <sz val="10"/>
      <color indexed="18"/>
      <name val="Arial"/>
      <family val="2"/>
    </font>
  </fonts>
  <fills count="14">
    <fill>
      <patternFill/>
    </fill>
    <fill>
      <patternFill patternType="gray125"/>
    </fill>
    <fill>
      <patternFill patternType="solid">
        <fgColor indexed="47"/>
        <bgColor indexed="64"/>
      </patternFill>
    </fill>
    <fill>
      <patternFill patternType="solid">
        <fgColor indexed="51"/>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5"/>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4">
    <border>
      <left/>
      <right/>
      <top/>
      <bottom/>
      <diagonal/>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thin"/>
      <bottom style="double"/>
    </border>
    <border>
      <left>
        <color indexed="63"/>
      </left>
      <right>
        <color indexed="63"/>
      </right>
      <top>
        <color indexed="63"/>
      </top>
      <bottom style="double"/>
    </border>
    <border>
      <left style="thin"/>
      <right>
        <color indexed="63"/>
      </right>
      <top style="thin"/>
      <bottom style="medium"/>
    </border>
    <border>
      <left style="thin"/>
      <right style="thin"/>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style="medium"/>
    </border>
    <border>
      <left>
        <color indexed="63"/>
      </left>
      <right>
        <color indexed="63"/>
      </right>
      <top style="medium"/>
      <bottom style="double"/>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47">
    <xf numFmtId="0" fontId="0" fillId="0" borderId="0" xfId="0" applyAlignment="1">
      <alignment/>
    </xf>
    <xf numFmtId="0" fontId="5"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horizontal="center"/>
    </xf>
    <xf numFmtId="0" fontId="0" fillId="0" borderId="4" xfId="0" applyBorder="1" applyAlignment="1">
      <alignment/>
    </xf>
    <xf numFmtId="0" fontId="0" fillId="0" borderId="0" xfId="0" applyBorder="1" applyAlignment="1">
      <alignment/>
    </xf>
    <xf numFmtId="172" fontId="0" fillId="0" borderId="0" xfId="0" applyNumberFormat="1" applyAlignment="1">
      <alignment/>
    </xf>
    <xf numFmtId="173" fontId="0" fillId="2" borderId="5" xfId="0" applyNumberFormat="1" applyFill="1" applyBorder="1" applyAlignment="1">
      <alignment/>
    </xf>
    <xf numFmtId="0" fontId="0" fillId="0" borderId="6" xfId="0" applyBorder="1" applyAlignment="1">
      <alignment/>
    </xf>
    <xf numFmtId="0" fontId="0" fillId="0" borderId="7" xfId="0" applyBorder="1" applyAlignment="1">
      <alignment/>
    </xf>
    <xf numFmtId="172" fontId="0" fillId="0" borderId="8" xfId="0" applyNumberFormat="1" applyBorder="1" applyAlignment="1">
      <alignment/>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horizontal="center"/>
    </xf>
    <xf numFmtId="2" fontId="0" fillId="3" borderId="5" xfId="0" applyNumberFormat="1" applyFill="1" applyBorder="1" applyAlignment="1">
      <alignment/>
    </xf>
    <xf numFmtId="2" fontId="0" fillId="3" borderId="15" xfId="0" applyNumberFormat="1" applyFill="1" applyBorder="1" applyAlignment="1">
      <alignment/>
    </xf>
    <xf numFmtId="2" fontId="0" fillId="0" borderId="0" xfId="0" applyNumberFormat="1" applyAlignment="1">
      <alignment/>
    </xf>
    <xf numFmtId="0" fontId="0" fillId="0" borderId="0" xfId="0" applyFont="1" applyAlignment="1">
      <alignment/>
    </xf>
    <xf numFmtId="2" fontId="0" fillId="3" borderId="8" xfId="0" applyNumberFormat="1" applyFill="1" applyBorder="1" applyAlignment="1">
      <alignment/>
    </xf>
    <xf numFmtId="2" fontId="0" fillId="3" borderId="16" xfId="0" applyNumberFormat="1" applyFill="1" applyBorder="1" applyAlignment="1">
      <alignment/>
    </xf>
    <xf numFmtId="0" fontId="0" fillId="0" borderId="17" xfId="0" applyBorder="1" applyAlignment="1">
      <alignment/>
    </xf>
    <xf numFmtId="0" fontId="0" fillId="4" borderId="5" xfId="0" applyFill="1" applyBorder="1" applyAlignment="1" applyProtection="1">
      <alignment horizontal="right"/>
      <protection locked="0"/>
    </xf>
    <xf numFmtId="0" fontId="0" fillId="0" borderId="5" xfId="0" applyBorder="1" applyAlignment="1">
      <alignment horizontal="center"/>
    </xf>
    <xf numFmtId="0" fontId="0" fillId="4" borderId="5" xfId="0" applyFill="1" applyBorder="1" applyAlignment="1" applyProtection="1">
      <alignment/>
      <protection locked="0"/>
    </xf>
    <xf numFmtId="0" fontId="0" fillId="0" borderId="5" xfId="0" applyBorder="1" applyAlignment="1">
      <alignment/>
    </xf>
    <xf numFmtId="0" fontId="0" fillId="4" borderId="8" xfId="0" applyFill="1" applyBorder="1" applyAlignment="1" applyProtection="1">
      <alignment/>
      <protection locked="0"/>
    </xf>
    <xf numFmtId="0" fontId="0" fillId="0" borderId="8" xfId="0" applyBorder="1" applyAlignment="1">
      <alignment/>
    </xf>
    <xf numFmtId="0" fontId="6" fillId="0" borderId="9"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0" fillId="0" borderId="3" xfId="0" applyBorder="1" applyAlignment="1">
      <alignment/>
    </xf>
    <xf numFmtId="172" fontId="0" fillId="0" borderId="5" xfId="0" applyNumberFormat="1" applyBorder="1" applyAlignment="1">
      <alignment/>
    </xf>
    <xf numFmtId="0" fontId="0" fillId="0" borderId="10" xfId="0" applyBorder="1" applyAlignment="1">
      <alignment/>
    </xf>
    <xf numFmtId="0" fontId="0" fillId="0" borderId="15" xfId="0" applyBorder="1" applyAlignment="1">
      <alignment/>
    </xf>
    <xf numFmtId="173" fontId="0" fillId="0" borderId="5" xfId="0" applyNumberFormat="1" applyBorder="1" applyAlignment="1">
      <alignment/>
    </xf>
    <xf numFmtId="173" fontId="0" fillId="0" borderId="18" xfId="0" applyNumberFormat="1" applyBorder="1" applyAlignment="1">
      <alignment/>
    </xf>
    <xf numFmtId="0" fontId="0" fillId="0" borderId="18" xfId="0" applyBorder="1" applyAlignment="1">
      <alignment/>
    </xf>
    <xf numFmtId="0" fontId="0" fillId="0" borderId="19" xfId="0" applyBorder="1" applyAlignment="1">
      <alignment/>
    </xf>
    <xf numFmtId="172" fontId="0" fillId="0" borderId="7" xfId="0" applyNumberFormat="1" applyBorder="1" applyAlignment="1">
      <alignment/>
    </xf>
    <xf numFmtId="172" fontId="0" fillId="0" borderId="16" xfId="0" applyNumberFormat="1" applyBorder="1" applyAlignment="1">
      <alignment/>
    </xf>
    <xf numFmtId="0" fontId="0" fillId="0" borderId="11" xfId="0" applyBorder="1" applyAlignment="1">
      <alignment/>
    </xf>
    <xf numFmtId="0" fontId="0" fillId="0" borderId="20" xfId="0" applyBorder="1" applyAlignment="1">
      <alignment horizontal="center"/>
    </xf>
    <xf numFmtId="0" fontId="0" fillId="0" borderId="14" xfId="0" applyBorder="1" applyAlignment="1">
      <alignment/>
    </xf>
    <xf numFmtId="173" fontId="0" fillId="0" borderId="0" xfId="0" applyNumberFormat="1" applyBorder="1" applyAlignment="1">
      <alignment/>
    </xf>
    <xf numFmtId="1" fontId="0" fillId="0" borderId="5" xfId="0" applyNumberFormat="1" applyBorder="1" applyAlignment="1">
      <alignment/>
    </xf>
    <xf numFmtId="172" fontId="0" fillId="3" borderId="15" xfId="0" applyNumberFormat="1" applyFill="1" applyBorder="1" applyAlignment="1">
      <alignment/>
    </xf>
    <xf numFmtId="175" fontId="0" fillId="0" borderId="0" xfId="0" applyNumberFormat="1" applyAlignment="1">
      <alignment/>
    </xf>
    <xf numFmtId="173" fontId="0" fillId="0" borderId="7" xfId="0" applyNumberFormat="1" applyBorder="1" applyAlignment="1">
      <alignment/>
    </xf>
    <xf numFmtId="1" fontId="0" fillId="0" borderId="8" xfId="0" applyNumberFormat="1" applyBorder="1" applyAlignment="1">
      <alignment/>
    </xf>
    <xf numFmtId="0" fontId="0" fillId="0" borderId="16" xfId="0" applyBorder="1" applyAlignment="1">
      <alignment/>
    </xf>
    <xf numFmtId="172" fontId="0" fillId="3" borderId="16" xfId="0" applyNumberFormat="1" applyFill="1" applyBorder="1" applyAlignment="1">
      <alignment/>
    </xf>
    <xf numFmtId="0" fontId="0" fillId="0" borderId="0" xfId="0" applyFill="1" applyBorder="1" applyAlignment="1">
      <alignment/>
    </xf>
    <xf numFmtId="0" fontId="0" fillId="0" borderId="4" xfId="0" applyFill="1" applyBorder="1" applyAlignment="1">
      <alignment/>
    </xf>
    <xf numFmtId="0" fontId="0" fillId="4" borderId="15" xfId="0" applyFill="1" applyBorder="1" applyAlignment="1" applyProtection="1">
      <alignment/>
      <protection locked="0"/>
    </xf>
    <xf numFmtId="0" fontId="0" fillId="0" borderId="6" xfId="0" applyFill="1" applyBorder="1" applyAlignment="1">
      <alignment/>
    </xf>
    <xf numFmtId="0" fontId="0" fillId="0" borderId="15" xfId="0" applyBorder="1" applyAlignment="1">
      <alignment horizontal="center"/>
    </xf>
    <xf numFmtId="176" fontId="0" fillId="0" borderId="0" xfId="0" applyNumberFormat="1" applyAlignment="1">
      <alignment/>
    </xf>
    <xf numFmtId="0" fontId="0" fillId="3" borderId="5" xfId="0" applyFill="1" applyBorder="1" applyAlignment="1">
      <alignment/>
    </xf>
    <xf numFmtId="0" fontId="0" fillId="3" borderId="8" xfId="0" applyFill="1" applyBorder="1" applyAlignment="1">
      <alignment/>
    </xf>
    <xf numFmtId="0" fontId="10" fillId="0" borderId="0" xfId="0" applyFont="1" applyAlignment="1">
      <alignment/>
    </xf>
    <xf numFmtId="2" fontId="0" fillId="3" borderId="5" xfId="0" applyNumberFormat="1" applyFill="1" applyBorder="1" applyAlignment="1" applyProtection="1">
      <alignment/>
      <protection locked="0"/>
    </xf>
    <xf numFmtId="2" fontId="0" fillId="3" borderId="15" xfId="0" applyNumberFormat="1" applyFill="1" applyBorder="1" applyAlignment="1" applyProtection="1">
      <alignment/>
      <protection locked="0"/>
    </xf>
    <xf numFmtId="2" fontId="0" fillId="3" borderId="8" xfId="0" applyNumberFormat="1" applyFill="1" applyBorder="1" applyAlignment="1" applyProtection="1">
      <alignment/>
      <protection locked="0"/>
    </xf>
    <xf numFmtId="2" fontId="0" fillId="3" borderId="16" xfId="0" applyNumberFormat="1" applyFill="1" applyBorder="1" applyAlignment="1" applyProtection="1">
      <alignment/>
      <protection locked="0"/>
    </xf>
    <xf numFmtId="2" fontId="0" fillId="0" borderId="0" xfId="0" applyNumberFormat="1" applyFill="1" applyBorder="1" applyAlignment="1">
      <alignment/>
    </xf>
    <xf numFmtId="2" fontId="0" fillId="0" borderId="5" xfId="0" applyNumberFormat="1" applyBorder="1" applyAlignment="1">
      <alignment/>
    </xf>
    <xf numFmtId="0" fontId="18" fillId="0" borderId="8" xfId="0" applyFont="1" applyBorder="1" applyAlignment="1">
      <alignment/>
    </xf>
    <xf numFmtId="0" fontId="10" fillId="0" borderId="1" xfId="0" applyFont="1" applyBorder="1" applyAlignment="1">
      <alignment/>
    </xf>
    <xf numFmtId="173" fontId="0" fillId="5" borderId="5" xfId="0" applyNumberFormat="1" applyFill="1" applyBorder="1" applyAlignment="1">
      <alignment/>
    </xf>
    <xf numFmtId="173" fontId="0" fillId="5" borderId="8" xfId="0" applyNumberFormat="1" applyFill="1" applyBorder="1" applyAlignment="1">
      <alignment/>
    </xf>
    <xf numFmtId="2" fontId="0" fillId="0" borderId="17" xfId="0" applyNumberFormat="1" applyBorder="1" applyAlignment="1">
      <alignment horizontal="center"/>
    </xf>
    <xf numFmtId="0" fontId="0" fillId="0" borderId="11" xfId="0" applyFill="1" applyBorder="1" applyAlignment="1">
      <alignment horizontal="center"/>
    </xf>
    <xf numFmtId="2" fontId="0" fillId="0" borderId="21" xfId="0" applyNumberFormat="1" applyBorder="1" applyAlignment="1">
      <alignment horizontal="center"/>
    </xf>
    <xf numFmtId="0" fontId="10" fillId="0" borderId="15" xfId="0" applyFont="1" applyFill="1" applyBorder="1" applyAlignment="1">
      <alignment horizontal="left"/>
    </xf>
    <xf numFmtId="2" fontId="0" fillId="0" borderId="0" xfId="0" applyNumberFormat="1" applyBorder="1" applyAlignment="1">
      <alignment/>
    </xf>
    <xf numFmtId="173" fontId="0" fillId="0" borderId="15" xfId="0" applyNumberFormat="1" applyBorder="1" applyAlignment="1">
      <alignment/>
    </xf>
    <xf numFmtId="2" fontId="0" fillId="0" borderId="7" xfId="0" applyNumberFormat="1" applyBorder="1" applyAlignment="1">
      <alignment/>
    </xf>
    <xf numFmtId="173" fontId="0" fillId="0" borderId="8" xfId="0" applyNumberFormat="1" applyBorder="1" applyAlignment="1">
      <alignment/>
    </xf>
    <xf numFmtId="173" fontId="0" fillId="0" borderId="16" xfId="0" applyNumberFormat="1" applyBorder="1" applyAlignment="1">
      <alignment/>
    </xf>
    <xf numFmtId="173" fontId="0" fillId="6" borderId="8" xfId="0" applyNumberFormat="1" applyFill="1" applyBorder="1" applyAlignment="1">
      <alignment/>
    </xf>
    <xf numFmtId="173" fontId="0" fillId="7" borderId="5" xfId="0" applyNumberFormat="1" applyFill="1" applyBorder="1" applyAlignment="1">
      <alignment/>
    </xf>
    <xf numFmtId="2" fontId="0" fillId="7" borderId="5" xfId="0" applyNumberFormat="1" applyFill="1" applyBorder="1" applyAlignment="1">
      <alignment/>
    </xf>
    <xf numFmtId="2" fontId="0" fillId="7" borderId="15" xfId="0" applyNumberFormat="1" applyFill="1" applyBorder="1" applyAlignment="1">
      <alignment/>
    </xf>
    <xf numFmtId="173" fontId="0" fillId="7" borderId="16" xfId="0" applyNumberFormat="1" applyFill="1" applyBorder="1" applyAlignment="1">
      <alignment/>
    </xf>
    <xf numFmtId="0" fontId="0" fillId="0" borderId="4" xfId="0" applyFont="1" applyFill="1" applyBorder="1" applyAlignment="1">
      <alignment/>
    </xf>
    <xf numFmtId="0" fontId="18" fillId="6" borderId="4" xfId="0" applyFont="1" applyFill="1" applyBorder="1" applyAlignment="1">
      <alignment/>
    </xf>
    <xf numFmtId="0" fontId="0" fillId="0" borderId="6" xfId="0" applyFont="1" applyFill="1" applyBorder="1" applyAlignment="1">
      <alignment/>
    </xf>
    <xf numFmtId="0" fontId="0" fillId="0" borderId="1" xfId="0" applyFont="1" applyBorder="1" applyAlignment="1">
      <alignment horizontal="center"/>
    </xf>
    <xf numFmtId="173" fontId="0" fillId="6" borderId="5" xfId="0" applyNumberFormat="1" applyFill="1" applyBorder="1" applyAlignment="1">
      <alignment/>
    </xf>
    <xf numFmtId="0" fontId="18" fillId="0" borderId="22" xfId="0" applyFont="1" applyBorder="1" applyAlignment="1">
      <alignment/>
    </xf>
    <xf numFmtId="173" fontId="0" fillId="8" borderId="5" xfId="0" applyNumberFormat="1" applyFill="1" applyBorder="1" applyAlignment="1">
      <alignment/>
    </xf>
    <xf numFmtId="173" fontId="0" fillId="0" borderId="5" xfId="0" applyNumberFormat="1" applyFill="1" applyBorder="1" applyAlignment="1">
      <alignment/>
    </xf>
    <xf numFmtId="173" fontId="0" fillId="0" borderId="8" xfId="0" applyNumberFormat="1" applyFill="1" applyBorder="1" applyAlignment="1">
      <alignment/>
    </xf>
    <xf numFmtId="173" fontId="18" fillId="6" borderId="23" xfId="0" applyNumberFormat="1" applyFont="1" applyFill="1" applyBorder="1" applyAlignment="1">
      <alignment/>
    </xf>
    <xf numFmtId="173" fontId="0" fillId="0" borderId="0" xfId="0" applyNumberFormat="1" applyAlignment="1">
      <alignment/>
    </xf>
    <xf numFmtId="0" fontId="18" fillId="0" borderId="1" xfId="0" applyFont="1" applyBorder="1" applyAlignment="1">
      <alignment/>
    </xf>
    <xf numFmtId="173" fontId="18" fillId="7" borderId="3" xfId="0" applyNumberFormat="1" applyFont="1" applyFill="1" applyBorder="1" applyAlignment="1">
      <alignment/>
    </xf>
    <xf numFmtId="173" fontId="0" fillId="0" borderId="3" xfId="0" applyNumberFormat="1" applyBorder="1" applyAlignment="1">
      <alignment/>
    </xf>
    <xf numFmtId="0" fontId="23" fillId="0" borderId="10" xfId="0" applyFont="1" applyBorder="1" applyAlignment="1">
      <alignment/>
    </xf>
    <xf numFmtId="0" fontId="23" fillId="0" borderId="17" xfId="0" applyFont="1" applyBorder="1" applyAlignment="1">
      <alignment horizontal="center"/>
    </xf>
    <xf numFmtId="2" fontId="23" fillId="0" borderId="10" xfId="0" applyNumberFormat="1" applyFont="1" applyBorder="1" applyAlignment="1">
      <alignment horizontal="center"/>
    </xf>
    <xf numFmtId="2" fontId="23" fillId="0" borderId="11" xfId="0" applyNumberFormat="1" applyFont="1" applyBorder="1" applyAlignment="1">
      <alignment horizontal="center"/>
    </xf>
    <xf numFmtId="0" fontId="23" fillId="0" borderId="13" xfId="0" applyFont="1" applyBorder="1" applyAlignment="1">
      <alignment/>
    </xf>
    <xf numFmtId="2" fontId="23" fillId="0" borderId="21" xfId="0" applyNumberFormat="1" applyFont="1" applyBorder="1" applyAlignment="1">
      <alignment horizontal="center"/>
    </xf>
    <xf numFmtId="0" fontId="23" fillId="0" borderId="13" xfId="0" applyFont="1" applyBorder="1" applyAlignment="1">
      <alignment horizontal="center"/>
    </xf>
    <xf numFmtId="0" fontId="23" fillId="0" borderId="14" xfId="0" applyFont="1" applyBorder="1" applyAlignment="1">
      <alignment horizontal="center"/>
    </xf>
    <xf numFmtId="0" fontId="23" fillId="0" borderId="10" xfId="0" applyFont="1" applyBorder="1" applyAlignment="1">
      <alignment horizontal="center"/>
    </xf>
    <xf numFmtId="0" fontId="23" fillId="0" borderId="21" xfId="0" applyFont="1" applyBorder="1" applyAlignment="1">
      <alignment horizontal="center"/>
    </xf>
    <xf numFmtId="0" fontId="23" fillId="0" borderId="3" xfId="0" applyFont="1"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173" fontId="0" fillId="0" borderId="4" xfId="0" applyNumberFormat="1" applyBorder="1" applyAlignment="1">
      <alignment/>
    </xf>
    <xf numFmtId="173" fontId="0" fillId="0" borderId="6" xfId="0" applyNumberFormat="1" applyBorder="1" applyAlignment="1">
      <alignment/>
    </xf>
    <xf numFmtId="0" fontId="0" fillId="0" borderId="5" xfId="0" applyFill="1" applyBorder="1" applyAlignment="1">
      <alignment/>
    </xf>
    <xf numFmtId="0" fontId="24" fillId="0" borderId="1" xfId="0" applyFont="1" applyBorder="1" applyAlignment="1">
      <alignment horizontal="center"/>
    </xf>
    <xf numFmtId="0" fontId="24" fillId="0" borderId="3" xfId="0" applyFont="1" applyBorder="1" applyAlignment="1">
      <alignment horizontal="center"/>
    </xf>
    <xf numFmtId="0" fontId="24" fillId="0" borderId="20" xfId="0" applyFont="1" applyBorder="1" applyAlignment="1">
      <alignment horizontal="center"/>
    </xf>
    <xf numFmtId="2" fontId="0" fillId="6" borderId="5" xfId="0" applyNumberFormat="1" applyFill="1" applyBorder="1" applyAlignment="1">
      <alignment/>
    </xf>
    <xf numFmtId="173" fontId="0" fillId="9" borderId="5" xfId="0" applyNumberFormat="1" applyFill="1" applyBorder="1" applyAlignment="1">
      <alignment/>
    </xf>
    <xf numFmtId="173" fontId="0" fillId="10" borderId="5" xfId="0" applyNumberFormat="1" applyFill="1" applyBorder="1" applyAlignment="1">
      <alignment/>
    </xf>
    <xf numFmtId="173" fontId="0" fillId="11" borderId="15" xfId="0" applyNumberFormat="1" applyFill="1" applyBorder="1" applyAlignment="1">
      <alignment/>
    </xf>
    <xf numFmtId="173" fontId="0" fillId="4" borderId="5" xfId="0" applyNumberFormat="1" applyFill="1" applyBorder="1" applyAlignment="1">
      <alignment/>
    </xf>
    <xf numFmtId="173" fontId="0" fillId="5" borderId="15" xfId="0" applyNumberFormat="1" applyFill="1" applyBorder="1" applyAlignment="1">
      <alignment/>
    </xf>
    <xf numFmtId="173" fontId="0" fillId="3" borderId="15" xfId="0" applyNumberFormat="1" applyFill="1" applyBorder="1" applyAlignment="1">
      <alignment/>
    </xf>
    <xf numFmtId="173" fontId="0" fillId="7" borderId="8" xfId="0" applyNumberFormat="1" applyFill="1" applyBorder="1" applyAlignment="1">
      <alignment/>
    </xf>
    <xf numFmtId="0" fontId="0" fillId="0" borderId="4" xfId="0" applyFont="1" applyBorder="1" applyAlignment="1">
      <alignment/>
    </xf>
    <xf numFmtId="173" fontId="0" fillId="0" borderId="0" xfId="0" applyNumberFormat="1" applyFont="1" applyBorder="1" applyAlignment="1">
      <alignment/>
    </xf>
    <xf numFmtId="173" fontId="0" fillId="0" borderId="5" xfId="0" applyNumberFormat="1"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6" xfId="0" applyFont="1" applyBorder="1" applyAlignment="1">
      <alignment/>
    </xf>
    <xf numFmtId="173" fontId="0" fillId="0" borderId="7" xfId="0" applyNumberFormat="1" applyFont="1" applyBorder="1" applyAlignment="1">
      <alignment/>
    </xf>
    <xf numFmtId="2" fontId="0" fillId="0" borderId="8" xfId="0" applyNumberFormat="1"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4" xfId="0" applyFont="1" applyFill="1" applyBorder="1" applyAlignment="1">
      <alignment/>
    </xf>
    <xf numFmtId="2" fontId="0" fillId="0" borderId="0" xfId="0" applyNumberFormat="1" applyFont="1" applyAlignment="1">
      <alignment/>
    </xf>
    <xf numFmtId="10" fontId="0" fillId="6" borderId="5" xfId="21" applyNumberFormat="1" applyFont="1" applyFill="1" applyBorder="1" applyAlignment="1">
      <alignment/>
    </xf>
    <xf numFmtId="0" fontId="0" fillId="0" borderId="6" xfId="0" applyFont="1" applyFill="1" applyBorder="1" applyAlignment="1">
      <alignment/>
    </xf>
    <xf numFmtId="1" fontId="0" fillId="0" borderId="5" xfId="0" applyNumberFormat="1" applyFont="1" applyFill="1" applyBorder="1" applyAlignment="1">
      <alignment/>
    </xf>
    <xf numFmtId="0" fontId="0" fillId="0" borderId="8" xfId="0" applyFont="1" applyFill="1" applyBorder="1" applyAlignment="1">
      <alignment/>
    </xf>
    <xf numFmtId="173" fontId="0" fillId="0" borderId="5" xfId="0" applyNumberFormat="1" applyFont="1" applyFill="1" applyBorder="1" applyAlignment="1">
      <alignment/>
    </xf>
    <xf numFmtId="181" fontId="24" fillId="0" borderId="5" xfId="0" applyNumberFormat="1" applyFont="1" applyBorder="1" applyAlignment="1">
      <alignment/>
    </xf>
    <xf numFmtId="0" fontId="23" fillId="0" borderId="9" xfId="0" applyFont="1" applyBorder="1" applyAlignment="1">
      <alignment horizontal="center"/>
    </xf>
    <xf numFmtId="2" fontId="23" fillId="0" borderId="17" xfId="0" applyNumberFormat="1" applyFont="1" applyBorder="1" applyAlignment="1">
      <alignment horizontal="center"/>
    </xf>
    <xf numFmtId="0" fontId="23" fillId="0" borderId="12" xfId="0" applyFont="1" applyBorder="1" applyAlignment="1">
      <alignment horizontal="center"/>
    </xf>
    <xf numFmtId="2" fontId="23" fillId="0" borderId="13" xfId="0" applyNumberFormat="1" applyFont="1" applyBorder="1" applyAlignment="1">
      <alignment horizontal="center"/>
    </xf>
    <xf numFmtId="173" fontId="0" fillId="7" borderId="5" xfId="0" applyNumberFormat="1" applyFont="1" applyFill="1" applyBorder="1" applyAlignment="1">
      <alignment/>
    </xf>
    <xf numFmtId="10" fontId="0" fillId="8" borderId="8" xfId="21" applyNumberFormat="1" applyFont="1" applyFill="1" applyBorder="1" applyAlignment="1">
      <alignment/>
    </xf>
    <xf numFmtId="0" fontId="10" fillId="0" borderId="22" xfId="0" applyFont="1" applyBorder="1" applyAlignment="1">
      <alignment/>
    </xf>
    <xf numFmtId="0" fontId="0" fillId="0" borderId="24" xfId="0" applyBorder="1" applyAlignment="1">
      <alignment/>
    </xf>
    <xf numFmtId="173" fontId="18" fillId="6" borderId="5" xfId="0" applyNumberFormat="1" applyFont="1" applyFill="1" applyBorder="1" applyAlignment="1">
      <alignment/>
    </xf>
    <xf numFmtId="0" fontId="0" fillId="6" borderId="5" xfId="0" applyFill="1" applyBorder="1" applyAlignment="1">
      <alignment/>
    </xf>
    <xf numFmtId="181" fontId="18" fillId="7" borderId="5" xfId="0" applyNumberFormat="1" applyFont="1" applyFill="1" applyBorder="1" applyAlignment="1">
      <alignment/>
    </xf>
    <xf numFmtId="0" fontId="0" fillId="0" borderId="23" xfId="0" applyBorder="1" applyAlignment="1">
      <alignment/>
    </xf>
    <xf numFmtId="0" fontId="18" fillId="0" borderId="4" xfId="0" applyFont="1" applyBorder="1" applyAlignment="1">
      <alignment/>
    </xf>
    <xf numFmtId="173" fontId="18" fillId="8" borderId="5" xfId="0" applyNumberFormat="1" applyFont="1" applyFill="1" applyBorder="1" applyAlignment="1">
      <alignment/>
    </xf>
    <xf numFmtId="0" fontId="10" fillId="0" borderId="23" xfId="0" applyFont="1" applyBorder="1" applyAlignment="1">
      <alignment/>
    </xf>
    <xf numFmtId="173" fontId="0" fillId="6" borderId="5" xfId="0" applyNumberFormat="1" applyFont="1" applyFill="1" applyBorder="1" applyAlignment="1">
      <alignment/>
    </xf>
    <xf numFmtId="9" fontId="0" fillId="6" borderId="5" xfId="21" applyFont="1" applyFill="1" applyBorder="1" applyAlignment="1">
      <alignment/>
    </xf>
    <xf numFmtId="173" fontId="0" fillId="6" borderId="8" xfId="0" applyNumberFormat="1" applyFont="1" applyFill="1" applyBorder="1" applyAlignment="1">
      <alignment/>
    </xf>
    <xf numFmtId="178" fontId="18" fillId="7" borderId="5" xfId="0" applyNumberFormat="1" applyFont="1" applyFill="1" applyBorder="1" applyAlignment="1">
      <alignment/>
    </xf>
    <xf numFmtId="9" fontId="18" fillId="0" borderId="5" xfId="21" applyFont="1" applyBorder="1" applyAlignment="1">
      <alignment/>
    </xf>
    <xf numFmtId="0" fontId="0" fillId="0" borderId="9" xfId="0" applyFont="1" applyBorder="1" applyAlignment="1">
      <alignment/>
    </xf>
    <xf numFmtId="0" fontId="0" fillId="0" borderId="10" xfId="0" applyFont="1" applyFill="1" applyBorder="1" applyAlignment="1">
      <alignment/>
    </xf>
    <xf numFmtId="2" fontId="0" fillId="0" borderId="5" xfId="0" applyNumberFormat="1" applyFont="1" applyFill="1" applyBorder="1" applyAlignment="1">
      <alignment/>
    </xf>
    <xf numFmtId="0" fontId="0" fillId="0" borderId="5" xfId="0" applyFont="1" applyFill="1" applyBorder="1" applyAlignment="1">
      <alignment/>
    </xf>
    <xf numFmtId="9" fontId="0" fillId="0" borderId="5" xfId="0" applyNumberFormat="1" applyFont="1" applyFill="1" applyBorder="1" applyAlignment="1">
      <alignment/>
    </xf>
    <xf numFmtId="173" fontId="0" fillId="0" borderId="8" xfId="0" applyNumberFormat="1" applyFont="1" applyFill="1" applyBorder="1" applyAlignment="1">
      <alignment/>
    </xf>
    <xf numFmtId="0" fontId="25" fillId="0" borderId="0" xfId="0" applyFont="1" applyAlignment="1">
      <alignment/>
    </xf>
    <xf numFmtId="2" fontId="0" fillId="0" borderId="15" xfId="0" applyNumberFormat="1" applyBorder="1" applyAlignment="1">
      <alignment/>
    </xf>
    <xf numFmtId="2" fontId="0" fillId="0" borderId="16" xfId="0" applyNumberFormat="1" applyBorder="1" applyAlignment="1">
      <alignment/>
    </xf>
    <xf numFmtId="2" fontId="0" fillId="0" borderId="8" xfId="0" applyNumberFormat="1" applyBorder="1" applyAlignment="1">
      <alignment/>
    </xf>
    <xf numFmtId="0" fontId="26" fillId="0" borderId="2" xfId="0" applyFont="1" applyFill="1" applyBorder="1" applyAlignment="1">
      <alignment horizontal="center"/>
    </xf>
    <xf numFmtId="0" fontId="26" fillId="0" borderId="3" xfId="0" applyFont="1" applyFill="1" applyBorder="1" applyAlignment="1">
      <alignment horizontal="center"/>
    </xf>
    <xf numFmtId="0" fontId="18" fillId="0" borderId="1" xfId="0" applyFont="1" applyBorder="1" applyAlignment="1">
      <alignment horizontal="center"/>
    </xf>
    <xf numFmtId="0" fontId="26" fillId="0" borderId="20" xfId="0" applyFont="1" applyFill="1" applyBorder="1" applyAlignment="1">
      <alignment horizontal="center"/>
    </xf>
    <xf numFmtId="0" fontId="18" fillId="0" borderId="0" xfId="0" applyFont="1" applyAlignment="1">
      <alignment/>
    </xf>
    <xf numFmtId="0" fontId="0" fillId="0" borderId="0" xfId="0" applyFill="1" applyBorder="1" applyAlignment="1">
      <alignment/>
    </xf>
    <xf numFmtId="0" fontId="0" fillId="0" borderId="25" xfId="0" applyFill="1" applyBorder="1" applyAlignment="1">
      <alignment/>
    </xf>
    <xf numFmtId="0" fontId="30" fillId="0" borderId="26" xfId="0" applyFont="1" applyFill="1" applyBorder="1" applyAlignment="1">
      <alignment horizontal="center"/>
    </xf>
    <xf numFmtId="173" fontId="0" fillId="0" borderId="0" xfId="0" applyNumberFormat="1" applyFill="1" applyBorder="1" applyAlignment="1">
      <alignment/>
    </xf>
    <xf numFmtId="173" fontId="18" fillId="0" borderId="0" xfId="0" applyNumberFormat="1" applyFont="1" applyFill="1" applyBorder="1" applyAlignment="1">
      <alignment/>
    </xf>
    <xf numFmtId="173" fontId="18" fillId="0" borderId="25" xfId="0" applyNumberFormat="1" applyFont="1" applyFill="1" applyBorder="1" applyAlignment="1">
      <alignment/>
    </xf>
    <xf numFmtId="173" fontId="0" fillId="0" borderId="25" xfId="0" applyNumberFormat="1" applyFill="1" applyBorder="1" applyAlignment="1">
      <alignment/>
    </xf>
    <xf numFmtId="0" fontId="10" fillId="0" borderId="0" xfId="0" applyFont="1" applyFill="1" applyBorder="1" applyAlignment="1">
      <alignment/>
    </xf>
    <xf numFmtId="173" fontId="0" fillId="0" borderId="10" xfId="0" applyNumberFormat="1" applyBorder="1" applyAlignment="1">
      <alignment/>
    </xf>
    <xf numFmtId="0" fontId="10" fillId="0" borderId="11" xfId="0" applyFont="1" applyBorder="1" applyAlignment="1">
      <alignment/>
    </xf>
    <xf numFmtId="0" fontId="10" fillId="0" borderId="9" xfId="0" applyFont="1" applyBorder="1" applyAlignment="1">
      <alignment/>
    </xf>
    <xf numFmtId="178" fontId="10" fillId="0" borderId="17" xfId="0" applyNumberFormat="1" applyFont="1" applyBorder="1" applyAlignment="1">
      <alignment/>
    </xf>
    <xf numFmtId="173" fontId="0" fillId="0" borderId="17" xfId="0" applyNumberFormat="1" applyBorder="1" applyAlignment="1">
      <alignment/>
    </xf>
    <xf numFmtId="0" fontId="0" fillId="6" borderId="3" xfId="0" applyFill="1" applyBorder="1" applyAlignment="1">
      <alignment horizontal="center"/>
    </xf>
    <xf numFmtId="0" fontId="0" fillId="6" borderId="1" xfId="0" applyFill="1" applyBorder="1" applyAlignment="1">
      <alignment horizontal="center"/>
    </xf>
    <xf numFmtId="0" fontId="0" fillId="6" borderId="5" xfId="0" applyFill="1" applyBorder="1" applyAlignment="1">
      <alignment horizontal="center"/>
    </xf>
    <xf numFmtId="0" fontId="0" fillId="6" borderId="4" xfId="0" applyFill="1" applyBorder="1" applyAlignment="1">
      <alignment horizontal="center"/>
    </xf>
    <xf numFmtId="0" fontId="0" fillId="6" borderId="8" xfId="0" applyFill="1" applyBorder="1" applyAlignment="1">
      <alignment horizontal="center"/>
    </xf>
    <xf numFmtId="0" fontId="0" fillId="6" borderId="6" xfId="0" applyFill="1" applyBorder="1" applyAlignment="1">
      <alignment horizontal="center"/>
    </xf>
    <xf numFmtId="0" fontId="0" fillId="0" borderId="4" xfId="0"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7" xfId="0" applyBorder="1" applyAlignment="1">
      <alignment horizontal="center"/>
    </xf>
    <xf numFmtId="0" fontId="0" fillId="0" borderId="10" xfId="0" applyFill="1" applyBorder="1" applyAlignment="1">
      <alignment horizontal="center"/>
    </xf>
    <xf numFmtId="0" fontId="0" fillId="0" borderId="8"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0" fillId="0" borderId="12" xfId="0" applyFill="1" applyBorder="1" applyAlignment="1">
      <alignment horizontal="center"/>
    </xf>
    <xf numFmtId="0" fontId="0" fillId="0" borderId="6" xfId="0" applyFill="1" applyBorder="1" applyAlignment="1">
      <alignment horizontal="center"/>
    </xf>
    <xf numFmtId="175" fontId="0" fillId="0" borderId="0" xfId="0" applyNumberFormat="1" applyBorder="1" applyAlignment="1">
      <alignment/>
    </xf>
    <xf numFmtId="175" fontId="0" fillId="0" borderId="15" xfId="0" applyNumberFormat="1" applyBorder="1" applyAlignment="1">
      <alignment/>
    </xf>
    <xf numFmtId="175" fontId="0" fillId="0" borderId="5" xfId="0" applyNumberFormat="1" applyBorder="1" applyAlignment="1">
      <alignment/>
    </xf>
    <xf numFmtId="172" fontId="0" fillId="0" borderId="5" xfId="0" applyNumberFormat="1" applyFill="1" applyBorder="1" applyAlignment="1">
      <alignment/>
    </xf>
    <xf numFmtId="183" fontId="0" fillId="0" borderId="5" xfId="0" applyNumberFormat="1" applyBorder="1" applyAlignment="1">
      <alignment/>
    </xf>
    <xf numFmtId="173" fontId="0" fillId="0" borderId="5" xfId="0" applyNumberFormat="1" applyBorder="1" applyAlignment="1">
      <alignment horizontal="center"/>
    </xf>
    <xf numFmtId="4" fontId="0" fillId="0" borderId="0" xfId="0" applyNumberFormat="1" applyBorder="1" applyAlignment="1">
      <alignment/>
    </xf>
    <xf numFmtId="4" fontId="0" fillId="0" borderId="5" xfId="0" applyNumberFormat="1" applyBorder="1" applyAlignment="1">
      <alignment/>
    </xf>
    <xf numFmtId="4" fontId="0" fillId="0" borderId="7" xfId="0" applyNumberFormat="1" applyBorder="1" applyAlignment="1">
      <alignment/>
    </xf>
    <xf numFmtId="4" fontId="0" fillId="0" borderId="8" xfId="0" applyNumberFormat="1" applyBorder="1" applyAlignment="1">
      <alignment/>
    </xf>
    <xf numFmtId="173" fontId="0" fillId="0" borderId="11" xfId="0" applyNumberFormat="1" applyBorder="1" applyAlignment="1">
      <alignment/>
    </xf>
    <xf numFmtId="176" fontId="0" fillId="7" borderId="5" xfId="0" applyNumberFormat="1" applyFill="1" applyBorder="1" applyAlignment="1">
      <alignment/>
    </xf>
    <xf numFmtId="176" fontId="0" fillId="7" borderId="8" xfId="0" applyNumberFormat="1" applyFill="1" applyBorder="1" applyAlignment="1">
      <alignment/>
    </xf>
    <xf numFmtId="3" fontId="0" fillId="0" borderId="0" xfId="0" applyNumberFormat="1" applyAlignment="1">
      <alignment/>
    </xf>
    <xf numFmtId="2" fontId="0" fillId="4" borderId="5" xfId="0" applyNumberFormat="1" applyFill="1" applyBorder="1" applyAlignment="1" applyProtection="1">
      <alignment/>
      <protection locked="0"/>
    </xf>
    <xf numFmtId="2" fontId="0" fillId="4" borderId="8" xfId="0" applyNumberFormat="1" applyFill="1" applyBorder="1" applyAlignment="1" applyProtection="1">
      <alignment/>
      <protection locked="0"/>
    </xf>
    <xf numFmtId="3" fontId="0" fillId="0" borderId="5" xfId="0" applyNumberFormat="1" applyBorder="1" applyAlignment="1">
      <alignment/>
    </xf>
    <xf numFmtId="0" fontId="0" fillId="0" borderId="3" xfId="0" applyFill="1" applyBorder="1" applyAlignment="1">
      <alignment horizontal="center"/>
    </xf>
    <xf numFmtId="0" fontId="0" fillId="0" borderId="27" xfId="0" applyFill="1" applyBorder="1" applyAlignment="1">
      <alignment horizontal="center"/>
    </xf>
    <xf numFmtId="0" fontId="0" fillId="0" borderId="18" xfId="0" applyFill="1" applyBorder="1" applyAlignment="1">
      <alignment horizontal="center"/>
    </xf>
    <xf numFmtId="0" fontId="0" fillId="0" borderId="25" xfId="0" applyFill="1" applyBorder="1" applyAlignment="1">
      <alignment horizontal="center"/>
    </xf>
    <xf numFmtId="176" fontId="0" fillId="7" borderId="18" xfId="0" applyNumberFormat="1" applyFill="1" applyBorder="1" applyAlignment="1">
      <alignment/>
    </xf>
    <xf numFmtId="3" fontId="0" fillId="0" borderId="18"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0" fontId="0" fillId="0" borderId="20" xfId="0" applyFill="1" applyBorder="1" applyAlignment="1">
      <alignment horizontal="center"/>
    </xf>
    <xf numFmtId="3" fontId="0" fillId="0" borderId="19" xfId="0" applyNumberFormat="1" applyBorder="1" applyAlignment="1">
      <alignment/>
    </xf>
    <xf numFmtId="173" fontId="0" fillId="0" borderId="0" xfId="0" applyNumberFormat="1" applyFill="1" applyBorder="1" applyAlignment="1">
      <alignment/>
    </xf>
    <xf numFmtId="0" fontId="0" fillId="0" borderId="8" xfId="0" applyBorder="1" applyAlignment="1">
      <alignment horizontal="center"/>
    </xf>
    <xf numFmtId="4" fontId="0" fillId="7" borderId="0" xfId="0" applyNumberFormat="1" applyFill="1" applyBorder="1" applyAlignment="1">
      <alignment/>
    </xf>
    <xf numFmtId="4" fontId="0" fillId="6" borderId="0" xfId="0" applyNumberFormat="1" applyFill="1" applyBorder="1" applyAlignment="1">
      <alignment/>
    </xf>
    <xf numFmtId="4" fontId="0" fillId="8" borderId="0" xfId="0" applyNumberFormat="1" applyFill="1" applyBorder="1" applyAlignment="1">
      <alignment/>
    </xf>
    <xf numFmtId="4" fontId="0" fillId="11" borderId="0" xfId="0" applyNumberFormat="1" applyFill="1" applyBorder="1" applyAlignment="1">
      <alignment/>
    </xf>
    <xf numFmtId="4" fontId="0" fillId="2" borderId="5" xfId="0" applyNumberFormat="1" applyFill="1" applyBorder="1" applyAlignment="1">
      <alignment/>
    </xf>
    <xf numFmtId="176" fontId="0" fillId="0" borderId="0" xfId="0" applyNumberFormat="1" applyFill="1" applyBorder="1" applyAlignment="1">
      <alignment/>
    </xf>
    <xf numFmtId="3" fontId="0" fillId="0" borderId="0" xfId="0" applyNumberFormat="1" applyFill="1" applyBorder="1" applyAlignment="1">
      <alignment/>
    </xf>
    <xf numFmtId="3" fontId="0" fillId="2" borderId="5" xfId="0" applyNumberFormat="1" applyFill="1" applyBorder="1" applyAlignment="1">
      <alignment/>
    </xf>
    <xf numFmtId="3" fontId="0" fillId="2" borderId="8" xfId="0" applyNumberFormat="1" applyFill="1" applyBorder="1" applyAlignment="1">
      <alignment/>
    </xf>
    <xf numFmtId="4" fontId="0" fillId="0" borderId="5" xfId="0" applyNumberFormat="1" applyFill="1" applyBorder="1" applyAlignment="1">
      <alignment/>
    </xf>
    <xf numFmtId="184" fontId="0" fillId="0" borderId="0" xfId="0" applyNumberFormat="1" applyBorder="1" applyAlignment="1">
      <alignment/>
    </xf>
    <xf numFmtId="184" fontId="0" fillId="0" borderId="5" xfId="0" applyNumberFormat="1" applyBorder="1" applyAlignment="1">
      <alignment/>
    </xf>
    <xf numFmtId="0" fontId="0" fillId="0" borderId="27" xfId="0" applyBorder="1" applyAlignment="1">
      <alignment/>
    </xf>
    <xf numFmtId="0" fontId="0" fillId="0" borderId="18" xfId="0" applyBorder="1" applyAlignment="1">
      <alignment horizontal="center"/>
    </xf>
    <xf numFmtId="4" fontId="0" fillId="0" borderId="25" xfId="0" applyNumberFormat="1" applyFill="1" applyBorder="1" applyAlignment="1">
      <alignment/>
    </xf>
    <xf numFmtId="4" fontId="0" fillId="0" borderId="18" xfId="0" applyNumberFormat="1" applyBorder="1" applyAlignment="1">
      <alignment/>
    </xf>
    <xf numFmtId="4" fontId="0" fillId="0" borderId="25" xfId="0" applyNumberFormat="1" applyBorder="1" applyAlignment="1">
      <alignment/>
    </xf>
    <xf numFmtId="3" fontId="0" fillId="0" borderId="0" xfId="0" applyNumberFormat="1" applyBorder="1" applyAlignment="1">
      <alignment/>
    </xf>
    <xf numFmtId="172" fontId="0" fillId="6" borderId="5" xfId="0" applyNumberFormat="1" applyFill="1" applyBorder="1" applyAlignment="1">
      <alignment/>
    </xf>
    <xf numFmtId="172" fontId="0" fillId="6" borderId="8" xfId="0" applyNumberFormat="1" applyFill="1" applyBorder="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0" fillId="0" borderId="28" xfId="0" applyBorder="1" applyAlignment="1">
      <alignment/>
    </xf>
    <xf numFmtId="0" fontId="10" fillId="0" borderId="28" xfId="0" applyFont="1" applyFill="1" applyBorder="1" applyAlignment="1">
      <alignment/>
    </xf>
    <xf numFmtId="173" fontId="0" fillId="7" borderId="0" xfId="0" applyNumberFormat="1" applyFill="1" applyAlignment="1">
      <alignment/>
    </xf>
    <xf numFmtId="173" fontId="0" fillId="7" borderId="25" xfId="0" applyNumberFormat="1" applyFill="1" applyBorder="1" applyAlignment="1">
      <alignment/>
    </xf>
    <xf numFmtId="173" fontId="0" fillId="0" borderId="0" xfId="0" applyNumberFormat="1" applyFill="1" applyAlignment="1">
      <alignment/>
    </xf>
    <xf numFmtId="173" fontId="0" fillId="0" borderId="25" xfId="0" applyNumberFormat="1" applyFill="1" applyBorder="1" applyAlignment="1">
      <alignment/>
    </xf>
    <xf numFmtId="0" fontId="10" fillId="0" borderId="0" xfId="0" applyFont="1" applyFill="1" applyBorder="1" applyAlignment="1">
      <alignment horizontal="left"/>
    </xf>
    <xf numFmtId="0" fontId="0" fillId="0" borderId="9" xfId="0" applyFill="1" applyBorder="1" applyAlignment="1">
      <alignment horizontal="left"/>
    </xf>
    <xf numFmtId="0" fontId="0" fillId="0" borderId="17" xfId="0" applyFill="1" applyBorder="1" applyAlignment="1">
      <alignment horizontal="center"/>
    </xf>
    <xf numFmtId="0" fontId="0" fillId="0" borderId="0" xfId="0" applyFill="1" applyAlignment="1">
      <alignment/>
    </xf>
    <xf numFmtId="173" fontId="0" fillId="7" borderId="10" xfId="0" applyNumberFormat="1" applyFill="1" applyBorder="1" applyAlignment="1">
      <alignment/>
    </xf>
    <xf numFmtId="2" fontId="0" fillId="6" borderId="8" xfId="0" applyNumberFormat="1" applyFill="1" applyBorder="1" applyAlignment="1">
      <alignment/>
    </xf>
    <xf numFmtId="2" fontId="0" fillId="7" borderId="16" xfId="0" applyNumberFormat="1" applyFill="1" applyBorder="1" applyAlignment="1">
      <alignment/>
    </xf>
    <xf numFmtId="2" fontId="0" fillId="0" borderId="18" xfId="0" applyNumberFormat="1" applyBorder="1" applyAlignment="1">
      <alignment/>
    </xf>
    <xf numFmtId="2" fontId="0" fillId="0" borderId="4" xfId="0" applyNumberFormat="1" applyBorder="1" applyAlignment="1">
      <alignment/>
    </xf>
    <xf numFmtId="173" fontId="0" fillId="0" borderId="13" xfId="0" applyNumberFormat="1" applyBorder="1" applyAlignment="1">
      <alignment horizontal="center"/>
    </xf>
    <xf numFmtId="2" fontId="0" fillId="5" borderId="5" xfId="0" applyNumberFormat="1" applyFill="1" applyBorder="1" applyAlignment="1">
      <alignment/>
    </xf>
    <xf numFmtId="2" fontId="0" fillId="6" borderId="0" xfId="0" applyNumberFormat="1" applyFill="1" applyBorder="1" applyAlignment="1">
      <alignment/>
    </xf>
    <xf numFmtId="2" fontId="0" fillId="6" borderId="15" xfId="0" applyNumberFormat="1" applyFill="1" applyBorder="1" applyAlignment="1">
      <alignment/>
    </xf>
    <xf numFmtId="2" fontId="0" fillId="8" borderId="0" xfId="0" applyNumberFormat="1" applyFill="1" applyBorder="1" applyAlignment="1">
      <alignment/>
    </xf>
    <xf numFmtId="0" fontId="0" fillId="6" borderId="18" xfId="0" applyFill="1" applyBorder="1" applyAlignment="1">
      <alignment/>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7" xfId="0" applyBorder="1" applyAlignment="1">
      <alignment horizontal="center"/>
    </xf>
    <xf numFmtId="0" fontId="0" fillId="0" borderId="16" xfId="0" applyBorder="1" applyAlignment="1">
      <alignment horizontal="center"/>
    </xf>
    <xf numFmtId="4" fontId="0" fillId="7" borderId="5" xfId="0" applyNumberFormat="1" applyFill="1" applyBorder="1" applyAlignment="1">
      <alignment/>
    </xf>
    <xf numFmtId="4" fontId="0" fillId="6" borderId="5" xfId="0" applyNumberFormat="1" applyFill="1" applyBorder="1" applyAlignment="1">
      <alignment/>
    </xf>
    <xf numFmtId="4" fontId="0" fillId="8" borderId="5" xfId="0" applyNumberFormat="1" applyFill="1" applyBorder="1" applyAlignment="1">
      <alignment/>
    </xf>
    <xf numFmtId="0" fontId="10" fillId="0" borderId="4" xfId="0" applyFont="1" applyBorder="1" applyAlignment="1">
      <alignment/>
    </xf>
    <xf numFmtId="172" fontId="0" fillId="0" borderId="6" xfId="0" applyNumberFormat="1" applyBorder="1" applyAlignment="1">
      <alignment/>
    </xf>
    <xf numFmtId="0" fontId="0" fillId="0" borderId="22" xfId="0" applyFont="1" applyBorder="1" applyAlignment="1">
      <alignment horizontal="right"/>
    </xf>
    <xf numFmtId="0" fontId="0" fillId="0" borderId="23" xfId="0" applyBorder="1" applyAlignment="1">
      <alignment horizontal="right"/>
    </xf>
    <xf numFmtId="175" fontId="0" fillId="0" borderId="29" xfId="0" applyNumberFormat="1" applyBorder="1" applyAlignment="1">
      <alignment horizontal="right"/>
    </xf>
    <xf numFmtId="0" fontId="0" fillId="0" borderId="24" xfId="0" applyBorder="1" applyAlignment="1">
      <alignment horizontal="right"/>
    </xf>
    <xf numFmtId="173" fontId="0" fillId="6" borderId="10" xfId="0" applyNumberFormat="1" applyFill="1" applyBorder="1" applyAlignment="1">
      <alignment/>
    </xf>
    <xf numFmtId="1" fontId="0" fillId="7" borderId="5" xfId="0" applyNumberFormat="1" applyFill="1" applyBorder="1" applyAlignment="1">
      <alignment/>
    </xf>
    <xf numFmtId="172" fontId="0" fillId="8" borderId="5" xfId="0" applyNumberFormat="1" applyFill="1" applyBorder="1" applyAlignment="1">
      <alignment/>
    </xf>
    <xf numFmtId="172" fontId="0" fillId="2" borderId="5" xfId="0" applyNumberFormat="1" applyFill="1" applyBorder="1" applyAlignment="1">
      <alignment/>
    </xf>
    <xf numFmtId="172" fontId="0" fillId="2" borderId="16" xfId="0" applyNumberFormat="1" applyFill="1" applyBorder="1" applyAlignment="1">
      <alignment/>
    </xf>
    <xf numFmtId="0" fontId="0" fillId="0" borderId="1" xfId="0" applyFill="1" applyBorder="1" applyAlignment="1">
      <alignment/>
    </xf>
    <xf numFmtId="172" fontId="0" fillId="0" borderId="3" xfId="0" applyNumberFormat="1" applyFill="1" applyBorder="1" applyAlignment="1">
      <alignment horizontal="right"/>
    </xf>
    <xf numFmtId="0" fontId="0" fillId="0" borderId="20" xfId="0" applyFill="1" applyBorder="1" applyAlignment="1">
      <alignment horizontal="right"/>
    </xf>
    <xf numFmtId="0" fontId="0" fillId="0" borderId="3" xfId="0" applyFill="1" applyBorder="1" applyAlignment="1">
      <alignment horizontal="right"/>
    </xf>
    <xf numFmtId="0" fontId="10" fillId="0" borderId="30" xfId="0" applyFont="1" applyBorder="1" applyAlignment="1">
      <alignment/>
    </xf>
    <xf numFmtId="0" fontId="0" fillId="0" borderId="31" xfId="0" applyBorder="1" applyAlignment="1">
      <alignment/>
    </xf>
    <xf numFmtId="0" fontId="0" fillId="0" borderId="32" xfId="0" applyBorder="1" applyAlignment="1">
      <alignment/>
    </xf>
    <xf numFmtId="0" fontId="0" fillId="4" borderId="13" xfId="0" applyFill="1" applyBorder="1" applyAlignment="1" applyProtection="1">
      <alignment/>
      <protection locked="0"/>
    </xf>
    <xf numFmtId="2" fontId="0" fillId="4" borderId="18" xfId="0" applyNumberFormat="1" applyFill="1" applyBorder="1" applyAlignment="1" applyProtection="1">
      <alignment/>
      <protection locked="0"/>
    </xf>
    <xf numFmtId="0" fontId="0" fillId="4" borderId="18" xfId="0" applyFill="1" applyBorder="1" applyAlignment="1" applyProtection="1">
      <alignment/>
      <protection locked="0"/>
    </xf>
    <xf numFmtId="0" fontId="0" fillId="4" borderId="19" xfId="0" applyFill="1" applyBorder="1" applyAlignment="1" applyProtection="1">
      <alignment/>
      <protection locked="0"/>
    </xf>
    <xf numFmtId="0" fontId="0" fillId="0" borderId="0" xfId="0" applyAlignment="1" applyProtection="1">
      <alignment/>
      <protection/>
    </xf>
    <xf numFmtId="0" fontId="0" fillId="0" borderId="10" xfId="0" applyBorder="1" applyAlignment="1" applyProtection="1">
      <alignment horizontal="center"/>
      <protection/>
    </xf>
    <xf numFmtId="0" fontId="0" fillId="0" borderId="17" xfId="0" applyBorder="1" applyAlignment="1" applyProtection="1">
      <alignment/>
      <protection/>
    </xf>
    <xf numFmtId="0" fontId="0" fillId="0" borderId="11" xfId="0" applyBorder="1" applyAlignment="1" applyProtection="1">
      <alignment/>
      <protection/>
    </xf>
    <xf numFmtId="0" fontId="0" fillId="0" borderId="8" xfId="0" applyBorder="1" applyAlignment="1" applyProtection="1">
      <alignment horizontal="center"/>
      <protection/>
    </xf>
    <xf numFmtId="0" fontId="0" fillId="0" borderId="31" xfId="0" applyBorder="1" applyAlignment="1" applyProtection="1">
      <alignment/>
      <protection/>
    </xf>
    <xf numFmtId="0" fontId="0" fillId="0" borderId="33" xfId="0" applyBorder="1" applyAlignment="1" applyProtection="1">
      <alignment/>
      <protection/>
    </xf>
    <xf numFmtId="0" fontId="0" fillId="6" borderId="33" xfId="0" applyFill="1" applyBorder="1" applyAlignment="1" applyProtection="1">
      <alignment/>
      <protection/>
    </xf>
    <xf numFmtId="0" fontId="0" fillId="0" borderId="32" xfId="0" applyBorder="1" applyAlignment="1" applyProtection="1">
      <alignment/>
      <protection/>
    </xf>
    <xf numFmtId="0" fontId="0" fillId="0" borderId="5" xfId="0" applyBorder="1" applyAlignment="1" applyProtection="1">
      <alignment/>
      <protection/>
    </xf>
    <xf numFmtId="173" fontId="0" fillId="0" borderId="0" xfId="0" applyNumberFormat="1" applyBorder="1" applyAlignment="1" applyProtection="1">
      <alignment/>
      <protection/>
    </xf>
    <xf numFmtId="173" fontId="0" fillId="0" borderId="5" xfId="0" applyNumberFormat="1" applyBorder="1" applyAlignment="1" applyProtection="1">
      <alignment/>
      <protection/>
    </xf>
    <xf numFmtId="173" fontId="0" fillId="7" borderId="5" xfId="0" applyNumberFormat="1" applyFont="1" applyFill="1" applyBorder="1" applyAlignment="1" applyProtection="1">
      <alignment/>
      <protection/>
    </xf>
    <xf numFmtId="173" fontId="0" fillId="6" borderId="5" xfId="0" applyNumberFormat="1" applyFill="1" applyBorder="1" applyAlignment="1" applyProtection="1">
      <alignment/>
      <protection/>
    </xf>
    <xf numFmtId="173" fontId="0" fillId="0" borderId="15" xfId="0" applyNumberFormat="1" applyBorder="1" applyAlignment="1" applyProtection="1">
      <alignment/>
      <protection/>
    </xf>
    <xf numFmtId="0" fontId="0" fillId="0" borderId="8" xfId="0" applyBorder="1" applyAlignment="1" applyProtection="1">
      <alignment/>
      <protection/>
    </xf>
    <xf numFmtId="173" fontId="0" fillId="0" borderId="7" xfId="0" applyNumberFormat="1" applyBorder="1" applyAlignment="1" applyProtection="1">
      <alignment/>
      <protection/>
    </xf>
    <xf numFmtId="173" fontId="0" fillId="0" borderId="8" xfId="0" applyNumberFormat="1" applyBorder="1" applyAlignment="1" applyProtection="1">
      <alignment/>
      <protection/>
    </xf>
    <xf numFmtId="173" fontId="0" fillId="7" borderId="8" xfId="0" applyNumberFormat="1" applyFont="1" applyFill="1" applyBorder="1" applyAlignment="1" applyProtection="1">
      <alignment/>
      <protection/>
    </xf>
    <xf numFmtId="173" fontId="0" fillId="6" borderId="8" xfId="0" applyNumberFormat="1" applyFill="1" applyBorder="1" applyAlignment="1" applyProtection="1">
      <alignment/>
      <protection/>
    </xf>
    <xf numFmtId="173" fontId="0" fillId="0" borderId="16" xfId="0" applyNumberFormat="1" applyBorder="1" applyAlignment="1" applyProtection="1">
      <alignment/>
      <protection/>
    </xf>
    <xf numFmtId="173" fontId="0" fillId="0" borderId="0" xfId="0" applyNumberFormat="1" applyAlignment="1" applyProtection="1">
      <alignment/>
      <protection/>
    </xf>
    <xf numFmtId="0" fontId="0" fillId="0" borderId="0" xfId="0" applyFill="1" applyBorder="1" applyAlignment="1" applyProtection="1">
      <alignment/>
      <protection/>
    </xf>
    <xf numFmtId="173" fontId="0" fillId="0" borderId="0" xfId="0" applyNumberFormat="1" applyFill="1" applyBorder="1" applyAlignment="1" applyProtection="1">
      <alignment/>
      <protection/>
    </xf>
    <xf numFmtId="173" fontId="0" fillId="0" borderId="0" xfId="0" applyNumberFormat="1" applyFont="1" applyFill="1" applyBorder="1" applyAlignment="1" applyProtection="1">
      <alignment/>
      <protection/>
    </xf>
    <xf numFmtId="173" fontId="0" fillId="4" borderId="33" xfId="0" applyNumberFormat="1" applyFill="1" applyBorder="1" applyAlignment="1" applyProtection="1">
      <alignment/>
      <protection locked="0"/>
    </xf>
    <xf numFmtId="173" fontId="0" fillId="0" borderId="0" xfId="0" applyNumberFormat="1" applyFill="1" applyAlignment="1" applyProtection="1">
      <alignment/>
      <protection/>
    </xf>
    <xf numFmtId="0" fontId="0" fillId="0" borderId="1" xfId="0" applyFill="1" applyBorder="1" applyAlignment="1" applyProtection="1">
      <alignment/>
      <protection/>
    </xf>
    <xf numFmtId="1" fontId="0" fillId="0" borderId="3" xfId="0" applyNumberFormat="1" applyFill="1" applyBorder="1" applyAlignment="1" applyProtection="1">
      <alignment/>
      <protection/>
    </xf>
    <xf numFmtId="1" fontId="0" fillId="0" borderId="2" xfId="0" applyNumberFormat="1" applyFill="1" applyBorder="1" applyAlignment="1" applyProtection="1">
      <alignment/>
      <protection/>
    </xf>
    <xf numFmtId="1" fontId="0" fillId="0" borderId="3" xfId="0" applyNumberFormat="1" applyBorder="1" applyAlignment="1" applyProtection="1">
      <alignment/>
      <protection/>
    </xf>
    <xf numFmtId="1" fontId="0" fillId="0" borderId="2" xfId="0" applyNumberFormat="1" applyBorder="1" applyAlignment="1" applyProtection="1">
      <alignment/>
      <protection/>
    </xf>
    <xf numFmtId="0" fontId="0" fillId="0" borderId="3" xfId="0" applyBorder="1" applyAlignment="1" applyProtection="1">
      <alignment/>
      <protection/>
    </xf>
    <xf numFmtId="0" fontId="0" fillId="0" borderId="2" xfId="0" applyBorder="1" applyAlignment="1" applyProtection="1">
      <alignment/>
      <protection/>
    </xf>
    <xf numFmtId="0" fontId="0" fillId="0" borderId="4" xfId="0" applyBorder="1" applyAlignment="1" applyProtection="1">
      <alignment/>
      <protection/>
    </xf>
    <xf numFmtId="0" fontId="0" fillId="0" borderId="6" xfId="0" applyBorder="1" applyAlignment="1" applyProtection="1">
      <alignment/>
      <protection/>
    </xf>
    <xf numFmtId="0" fontId="25" fillId="0" borderId="0" xfId="0" applyFont="1" applyAlignment="1" applyProtection="1">
      <alignment horizontal="left"/>
      <protection/>
    </xf>
    <xf numFmtId="0" fontId="5" fillId="0" borderId="0" xfId="0" applyFont="1" applyAlignment="1" applyProtection="1">
      <alignment/>
      <protection hidden="1"/>
    </xf>
    <xf numFmtId="0" fontId="0" fillId="0" borderId="0" xfId="0" applyAlignment="1" applyProtection="1">
      <alignment/>
      <protection hidden="1"/>
    </xf>
    <xf numFmtId="0" fontId="0" fillId="0" borderId="1" xfId="0"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horizontal="center"/>
      <protection hidden="1"/>
    </xf>
    <xf numFmtId="0" fontId="0" fillId="0" borderId="4" xfId="0" applyBorder="1" applyAlignment="1" applyProtection="1">
      <alignment/>
      <protection hidden="1"/>
    </xf>
    <xf numFmtId="0" fontId="0" fillId="0" borderId="0" xfId="0" applyBorder="1" applyAlignment="1" applyProtection="1">
      <alignment/>
      <protection hidden="1"/>
    </xf>
    <xf numFmtId="2" fontId="0" fillId="2" borderId="5" xfId="0" applyNumberFormat="1" applyFill="1" applyBorder="1" applyAlignment="1" applyProtection="1">
      <alignment/>
      <protection hidden="1"/>
    </xf>
    <xf numFmtId="172" fontId="0" fillId="0" borderId="0" xfId="0" applyNumberFormat="1" applyAlignment="1" applyProtection="1">
      <alignment/>
      <protection hidden="1"/>
    </xf>
    <xf numFmtId="0" fontId="0" fillId="0" borderId="5" xfId="0" applyBorder="1" applyAlignment="1" applyProtection="1">
      <alignment/>
      <protection hidden="1"/>
    </xf>
    <xf numFmtId="173" fontId="0" fillId="2" borderId="5" xfId="0" applyNumberFormat="1" applyFill="1" applyBorder="1" applyAlignment="1" applyProtection="1">
      <alignment/>
      <protection hidden="1"/>
    </xf>
    <xf numFmtId="0" fontId="0" fillId="0" borderId="27" xfId="0" applyBorder="1" applyAlignment="1" applyProtection="1">
      <alignment/>
      <protection hidden="1"/>
    </xf>
    <xf numFmtId="0" fontId="0" fillId="0" borderId="25" xfId="0" applyBorder="1" applyAlignment="1" applyProtection="1">
      <alignment/>
      <protection hidden="1"/>
    </xf>
    <xf numFmtId="0" fontId="0" fillId="0" borderId="18" xfId="0" applyBorder="1" applyAlignment="1" applyProtection="1">
      <alignment/>
      <protection hidden="1"/>
    </xf>
    <xf numFmtId="173" fontId="0" fillId="2" borderId="18" xfId="0" applyNumberFormat="1" applyFill="1" applyBorder="1" applyAlignment="1" applyProtection="1">
      <alignment/>
      <protection hidden="1"/>
    </xf>
    <xf numFmtId="0" fontId="0" fillId="0" borderId="6" xfId="0" applyBorder="1" applyAlignment="1" applyProtection="1">
      <alignment/>
      <protection hidden="1"/>
    </xf>
    <xf numFmtId="0" fontId="0" fillId="0" borderId="7" xfId="0" applyBorder="1" applyAlignment="1" applyProtection="1">
      <alignment/>
      <protection hidden="1"/>
    </xf>
    <xf numFmtId="172" fontId="0" fillId="0" borderId="8" xfId="0" applyNumberFormat="1" applyBorder="1" applyAlignment="1" applyProtection="1">
      <alignment/>
      <protection hidden="1"/>
    </xf>
    <xf numFmtId="0" fontId="0" fillId="0" borderId="9" xfId="0" applyBorder="1" applyAlignment="1" applyProtection="1">
      <alignment/>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2" xfId="0" applyBorder="1" applyAlignment="1" applyProtection="1">
      <alignment/>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2" fontId="0" fillId="3" borderId="5" xfId="0" applyNumberFormat="1" applyFill="1" applyBorder="1" applyAlignment="1" applyProtection="1">
      <alignment/>
      <protection hidden="1"/>
    </xf>
    <xf numFmtId="2" fontId="0" fillId="3" borderId="15" xfId="0" applyNumberFormat="1" applyFill="1" applyBorder="1" applyAlignment="1" applyProtection="1">
      <alignment/>
      <protection hidden="1"/>
    </xf>
    <xf numFmtId="1" fontId="0" fillId="0" borderId="0" xfId="0" applyNumberFormat="1" applyAlignment="1" applyProtection="1">
      <alignment/>
      <protection hidden="1"/>
    </xf>
    <xf numFmtId="2" fontId="0" fillId="3" borderId="8" xfId="0" applyNumberFormat="1" applyFill="1" applyBorder="1" applyAlignment="1" applyProtection="1">
      <alignment/>
      <protection hidden="1"/>
    </xf>
    <xf numFmtId="2" fontId="0" fillId="3" borderId="16" xfId="0" applyNumberFormat="1" applyFill="1" applyBorder="1" applyAlignment="1" applyProtection="1">
      <alignment/>
      <protection hidden="1"/>
    </xf>
    <xf numFmtId="0" fontId="0" fillId="0" borderId="17" xfId="0" applyBorder="1" applyAlignment="1" applyProtection="1">
      <alignment/>
      <protection hidden="1"/>
    </xf>
    <xf numFmtId="0" fontId="0" fillId="0" borderId="33"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1" xfId="0" applyBorder="1" applyAlignment="1" applyProtection="1">
      <alignment/>
      <protection hidden="1"/>
    </xf>
    <xf numFmtId="2" fontId="0" fillId="2" borderId="13" xfId="0" applyNumberFormat="1" applyFill="1" applyBorder="1" applyAlignment="1" applyProtection="1">
      <alignment/>
      <protection hidden="1"/>
    </xf>
    <xf numFmtId="0" fontId="0" fillId="0" borderId="13" xfId="0" applyBorder="1" applyAlignment="1" applyProtection="1">
      <alignment/>
      <protection hidden="1"/>
    </xf>
    <xf numFmtId="0" fontId="0" fillId="0" borderId="8" xfId="0" applyBorder="1" applyAlignment="1" applyProtection="1">
      <alignment/>
      <protection hidden="1"/>
    </xf>
    <xf numFmtId="0" fontId="6" fillId="0" borderId="9"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0" fillId="0" borderId="3" xfId="0" applyBorder="1" applyAlignment="1" applyProtection="1">
      <alignment/>
      <protection hidden="1"/>
    </xf>
    <xf numFmtId="0" fontId="6" fillId="0" borderId="3" xfId="0" applyFont="1" applyBorder="1" applyAlignment="1" applyProtection="1">
      <alignment/>
      <protection hidden="1"/>
    </xf>
    <xf numFmtId="0" fontId="0" fillId="0" borderId="10" xfId="0" applyBorder="1" applyAlignment="1" applyProtection="1">
      <alignment/>
      <protection hidden="1"/>
    </xf>
    <xf numFmtId="172" fontId="0" fillId="0" borderId="5" xfId="0" applyNumberFormat="1" applyBorder="1" applyAlignment="1" applyProtection="1">
      <alignment/>
      <protection hidden="1"/>
    </xf>
    <xf numFmtId="0" fontId="0" fillId="0" borderId="20" xfId="0" applyBorder="1" applyAlignment="1" applyProtection="1">
      <alignment/>
      <protection hidden="1"/>
    </xf>
    <xf numFmtId="173" fontId="0" fillId="0" borderId="5" xfId="0" applyNumberFormat="1" applyBorder="1" applyAlignment="1" applyProtection="1">
      <alignment/>
      <protection hidden="1"/>
    </xf>
    <xf numFmtId="0" fontId="0" fillId="0" borderId="15" xfId="0" applyBorder="1" applyAlignment="1" applyProtection="1">
      <alignment/>
      <protection hidden="1"/>
    </xf>
    <xf numFmtId="173" fontId="0" fillId="0" borderId="18" xfId="0" applyNumberFormat="1" applyBorder="1" applyAlignment="1" applyProtection="1">
      <alignment/>
      <protection hidden="1"/>
    </xf>
    <xf numFmtId="0" fontId="0" fillId="0" borderId="19" xfId="0" applyBorder="1" applyAlignment="1" applyProtection="1">
      <alignment/>
      <protection hidden="1"/>
    </xf>
    <xf numFmtId="172" fontId="0" fillId="0" borderId="7" xfId="0" applyNumberFormat="1" applyBorder="1" applyAlignment="1" applyProtection="1">
      <alignment/>
      <protection hidden="1"/>
    </xf>
    <xf numFmtId="172" fontId="0" fillId="0" borderId="16" xfId="0" applyNumberFormat="1" applyBorder="1" applyAlignment="1" applyProtection="1">
      <alignment/>
      <protection hidden="1"/>
    </xf>
    <xf numFmtId="0" fontId="0" fillId="0" borderId="33" xfId="0" applyBorder="1" applyAlignment="1" applyProtection="1">
      <alignment/>
      <protection hidden="1"/>
    </xf>
    <xf numFmtId="0" fontId="0" fillId="0" borderId="11" xfId="0" applyBorder="1" applyAlignment="1" applyProtection="1">
      <alignment/>
      <protection hidden="1"/>
    </xf>
    <xf numFmtId="0" fontId="0" fillId="0" borderId="2"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14" xfId="0" applyBorder="1" applyAlignment="1" applyProtection="1">
      <alignment/>
      <protection hidden="1"/>
    </xf>
    <xf numFmtId="173" fontId="0" fillId="0" borderId="0" xfId="0" applyNumberFormat="1" applyBorder="1" applyAlignment="1" applyProtection="1">
      <alignment/>
      <protection hidden="1"/>
    </xf>
    <xf numFmtId="1" fontId="0" fillId="0" borderId="5" xfId="0" applyNumberFormat="1" applyBorder="1" applyAlignment="1" applyProtection="1">
      <alignment/>
      <protection hidden="1"/>
    </xf>
    <xf numFmtId="172" fontId="0" fillId="3" borderId="15" xfId="0" applyNumberFormat="1" applyFill="1" applyBorder="1" applyAlignment="1" applyProtection="1">
      <alignment/>
      <protection hidden="1"/>
    </xf>
    <xf numFmtId="173" fontId="0" fillId="0" borderId="7" xfId="0" applyNumberFormat="1" applyBorder="1" applyAlignment="1" applyProtection="1">
      <alignment/>
      <protection hidden="1"/>
    </xf>
    <xf numFmtId="1" fontId="0" fillId="0" borderId="8" xfId="0" applyNumberFormat="1" applyBorder="1" applyAlignment="1" applyProtection="1">
      <alignment/>
      <protection hidden="1"/>
    </xf>
    <xf numFmtId="0" fontId="0" fillId="0" borderId="16" xfId="0" applyBorder="1" applyAlignment="1" applyProtection="1">
      <alignment/>
      <protection hidden="1"/>
    </xf>
    <xf numFmtId="172" fontId="0" fillId="3" borderId="16" xfId="0" applyNumberFormat="1" applyFill="1" applyBorder="1" applyAlignment="1" applyProtection="1">
      <alignment/>
      <protection hidden="1"/>
    </xf>
    <xf numFmtId="0" fontId="0" fillId="0" borderId="0" xfId="0" applyFill="1" applyBorder="1" applyAlignment="1" applyProtection="1">
      <alignment/>
      <protection hidden="1"/>
    </xf>
    <xf numFmtId="172" fontId="0" fillId="0" borderId="0" xfId="0" applyNumberFormat="1" applyFill="1" applyBorder="1" applyAlignment="1" applyProtection="1">
      <alignment/>
      <protection hidden="1"/>
    </xf>
    <xf numFmtId="0" fontId="5" fillId="0" borderId="0" xfId="0" applyFont="1" applyBorder="1" applyAlignment="1" applyProtection="1">
      <alignment/>
      <protection hidden="1"/>
    </xf>
    <xf numFmtId="0" fontId="0" fillId="0" borderId="2" xfId="0" applyFill="1" applyBorder="1" applyAlignment="1" applyProtection="1">
      <alignment/>
      <protection hidden="1"/>
    </xf>
    <xf numFmtId="172" fontId="0" fillId="0" borderId="2" xfId="0" applyNumberFormat="1" applyFill="1" applyBorder="1" applyAlignment="1" applyProtection="1">
      <alignment/>
      <protection hidden="1"/>
    </xf>
    <xf numFmtId="0" fontId="0" fillId="0" borderId="4" xfId="0" applyFill="1" applyBorder="1" applyAlignment="1" applyProtection="1">
      <alignment/>
      <protection hidden="1"/>
    </xf>
    <xf numFmtId="173" fontId="0" fillId="2" borderId="4" xfId="0" applyNumberFormat="1" applyFill="1" applyBorder="1" applyAlignment="1" applyProtection="1">
      <alignment/>
      <protection hidden="1"/>
    </xf>
    <xf numFmtId="0" fontId="0" fillId="0" borderId="27" xfId="0" applyFill="1" applyBorder="1" applyAlignment="1" applyProtection="1">
      <alignment/>
      <protection hidden="1"/>
    </xf>
    <xf numFmtId="172" fontId="0" fillId="0" borderId="25" xfId="0" applyNumberFormat="1" applyFill="1" applyBorder="1" applyAlignment="1" applyProtection="1">
      <alignment/>
      <protection hidden="1"/>
    </xf>
    <xf numFmtId="173" fontId="0" fillId="2" borderId="27" xfId="0" applyNumberFormat="1" applyFill="1" applyBorder="1" applyAlignment="1" applyProtection="1">
      <alignment/>
      <protection hidden="1"/>
    </xf>
    <xf numFmtId="0" fontId="0" fillId="0" borderId="6" xfId="0" applyFill="1" applyBorder="1" applyAlignment="1" applyProtection="1">
      <alignment/>
      <protection hidden="1"/>
    </xf>
    <xf numFmtId="172" fontId="0" fillId="0" borderId="7" xfId="0" applyNumberFormat="1" applyFill="1" applyBorder="1" applyAlignment="1" applyProtection="1">
      <alignment/>
      <protection hidden="1"/>
    </xf>
    <xf numFmtId="0" fontId="0" fillId="0" borderId="15" xfId="0" applyBorder="1" applyAlignment="1" applyProtection="1">
      <alignment horizontal="center"/>
      <protection hidden="1"/>
    </xf>
    <xf numFmtId="0" fontId="6" fillId="0" borderId="5" xfId="0" applyFont="1" applyBorder="1" applyAlignment="1" applyProtection="1">
      <alignment horizontal="center"/>
      <protection hidden="1"/>
    </xf>
    <xf numFmtId="0" fontId="6" fillId="0" borderId="15" xfId="0" applyFont="1" applyBorder="1" applyAlignment="1" applyProtection="1">
      <alignment horizontal="center"/>
      <protection hidden="1"/>
    </xf>
    <xf numFmtId="2" fontId="0" fillId="3" borderId="10" xfId="0" applyNumberFormat="1" applyFill="1" applyBorder="1" applyAlignment="1" applyProtection="1">
      <alignment/>
      <protection hidden="1"/>
    </xf>
    <xf numFmtId="0" fontId="0" fillId="3" borderId="10" xfId="0" applyFill="1" applyBorder="1" applyAlignment="1" applyProtection="1">
      <alignment/>
      <protection hidden="1"/>
    </xf>
    <xf numFmtId="0" fontId="0" fillId="3" borderId="5" xfId="0" applyFill="1" applyBorder="1" applyAlignment="1" applyProtection="1">
      <alignment/>
      <protection hidden="1"/>
    </xf>
    <xf numFmtId="0" fontId="0" fillId="3" borderId="8" xfId="0" applyFill="1" applyBorder="1" applyAlignment="1" applyProtection="1">
      <alignment/>
      <protection hidden="1"/>
    </xf>
    <xf numFmtId="0" fontId="0" fillId="12" borderId="0" xfId="0" applyFill="1" applyAlignment="1">
      <alignment/>
    </xf>
    <xf numFmtId="1" fontId="0" fillId="0" borderId="0" xfId="0" applyNumberFormat="1" applyAlignment="1">
      <alignment/>
    </xf>
    <xf numFmtId="0" fontId="0" fillId="13" borderId="0" xfId="0" applyFill="1" applyAlignment="1">
      <alignment/>
    </xf>
    <xf numFmtId="0" fontId="30" fillId="13" borderId="26" xfId="0" applyFont="1" applyFill="1" applyBorder="1" applyAlignment="1">
      <alignment horizontal="centerContinuous"/>
    </xf>
    <xf numFmtId="0" fontId="0" fillId="13" borderId="0" xfId="0" applyFill="1" applyBorder="1" applyAlignment="1">
      <alignment/>
    </xf>
    <xf numFmtId="173" fontId="0" fillId="13" borderId="0" xfId="0" applyNumberFormat="1" applyFill="1" applyBorder="1" applyAlignment="1">
      <alignment/>
    </xf>
    <xf numFmtId="0" fontId="0" fillId="13" borderId="25" xfId="0" applyFill="1" applyBorder="1" applyAlignment="1">
      <alignment/>
    </xf>
    <xf numFmtId="0" fontId="23" fillId="13" borderId="9" xfId="0" applyFont="1" applyFill="1" applyBorder="1" applyAlignment="1">
      <alignment horizontal="center"/>
    </xf>
    <xf numFmtId="0" fontId="23" fillId="13" borderId="10" xfId="0" applyFont="1" applyFill="1" applyBorder="1" applyAlignment="1">
      <alignment horizontal="center"/>
    </xf>
    <xf numFmtId="0" fontId="23" fillId="13" borderId="17" xfId="0" applyFont="1" applyFill="1" applyBorder="1" applyAlignment="1">
      <alignment horizontal="center"/>
    </xf>
    <xf numFmtId="0" fontId="23" fillId="13" borderId="12" xfId="0" applyFont="1" applyFill="1" applyBorder="1" applyAlignment="1">
      <alignment horizontal="center"/>
    </xf>
    <xf numFmtId="0" fontId="23" fillId="13" borderId="13" xfId="0" applyFont="1" applyFill="1" applyBorder="1" applyAlignment="1">
      <alignment horizontal="center"/>
    </xf>
    <xf numFmtId="0" fontId="23" fillId="13" borderId="21" xfId="0" applyFont="1" applyFill="1" applyBorder="1" applyAlignment="1">
      <alignment horizontal="center"/>
    </xf>
    <xf numFmtId="0" fontId="23" fillId="13" borderId="14" xfId="0" applyFont="1" applyFill="1" applyBorder="1" applyAlignment="1">
      <alignment horizontal="center"/>
    </xf>
    <xf numFmtId="4" fontId="0" fillId="13" borderId="0" xfId="0" applyNumberFormat="1" applyFill="1" applyBorder="1" applyAlignment="1">
      <alignment/>
    </xf>
    <xf numFmtId="2" fontId="0" fillId="13" borderId="0" xfId="0" applyNumberFormat="1" applyFill="1" applyAlignment="1">
      <alignment/>
    </xf>
    <xf numFmtId="4" fontId="0" fillId="13" borderId="25" xfId="0" applyNumberFormat="1" applyFill="1" applyBorder="1" applyAlignment="1">
      <alignment/>
    </xf>
    <xf numFmtId="0" fontId="23" fillId="13" borderId="26" xfId="0" applyFont="1" applyFill="1" applyBorder="1" applyAlignment="1">
      <alignment horizontal="center"/>
    </xf>
    <xf numFmtId="182" fontId="0" fillId="13" borderId="0" xfId="0" applyNumberFormat="1" applyFill="1" applyBorder="1" applyAlignment="1">
      <alignment/>
    </xf>
    <xf numFmtId="172" fontId="0" fillId="13" borderId="0" xfId="0" applyNumberFormat="1" applyFill="1" applyAlignment="1">
      <alignment/>
    </xf>
    <xf numFmtId="182" fontId="0" fillId="13" borderId="25" xfId="0" applyNumberFormat="1" applyFill="1" applyBorder="1" applyAlignment="1">
      <alignment/>
    </xf>
    <xf numFmtId="0" fontId="26" fillId="0" borderId="30" xfId="0" applyFont="1" applyBorder="1" applyAlignment="1">
      <alignment horizontal="center"/>
    </xf>
    <xf numFmtId="0" fontId="26" fillId="0" borderId="32" xfId="0" applyFont="1" applyBorder="1" applyAlignment="1">
      <alignment horizontal="center"/>
    </xf>
    <xf numFmtId="0" fontId="26" fillId="0" borderId="31" xfId="0" applyFont="1" applyBorder="1" applyAlignment="1">
      <alignment horizontal="center"/>
    </xf>
    <xf numFmtId="0" fontId="0" fillId="0" borderId="25" xfId="0" applyBorder="1" applyAlignment="1">
      <alignment/>
    </xf>
    <xf numFmtId="0" fontId="6" fillId="0" borderId="12" xfId="0" applyFont="1" applyBorder="1" applyAlignment="1">
      <alignment/>
    </xf>
    <xf numFmtId="0" fontId="6" fillId="0" borderId="6" xfId="0" applyFont="1" applyBorder="1" applyAlignment="1">
      <alignment/>
    </xf>
    <xf numFmtId="0" fontId="6" fillId="0" borderId="16" xfId="0" applyFont="1" applyBorder="1" applyAlignment="1">
      <alignment/>
    </xf>
    <xf numFmtId="0" fontId="6" fillId="0" borderId="7" xfId="0" applyFont="1" applyBorder="1" applyAlignment="1">
      <alignment/>
    </xf>
    <xf numFmtId="0" fontId="6" fillId="0" borderId="0" xfId="0" applyFont="1" applyBorder="1" applyAlignment="1">
      <alignment/>
    </xf>
    <xf numFmtId="0" fontId="6" fillId="0" borderId="15" xfId="0" applyFont="1" applyBorder="1" applyAlignment="1">
      <alignment/>
    </xf>
    <xf numFmtId="0" fontId="6" fillId="0" borderId="4" xfId="0" applyFont="1" applyBorder="1" applyAlignment="1">
      <alignment/>
    </xf>
    <xf numFmtId="0" fontId="6" fillId="0" borderId="21" xfId="0" applyFont="1" applyBorder="1" applyAlignment="1">
      <alignment/>
    </xf>
    <xf numFmtId="0" fontId="6" fillId="0" borderId="14" xfId="0" applyFont="1" applyBorder="1" applyAlignment="1">
      <alignment/>
    </xf>
    <xf numFmtId="17" fontId="6" fillId="0" borderId="7" xfId="0" applyNumberFormat="1" applyFont="1" applyBorder="1" applyAlignment="1">
      <alignment/>
    </xf>
    <xf numFmtId="0" fontId="45" fillId="0" borderId="0" xfId="0" applyFont="1" applyAlignment="1">
      <alignment/>
    </xf>
    <xf numFmtId="173" fontId="0" fillId="0" borderId="15" xfId="0" applyNumberFormat="1" applyBorder="1" applyAlignment="1" applyProtection="1">
      <alignment/>
      <protection hidden="1"/>
    </xf>
    <xf numFmtId="2" fontId="0" fillId="0" borderId="5" xfId="0" applyNumberFormat="1" applyFill="1" applyBorder="1" applyAlignment="1">
      <alignment/>
    </xf>
    <xf numFmtId="2" fontId="0" fillId="0" borderId="15" xfId="0" applyNumberFormat="1" applyFill="1" applyBorder="1" applyAlignment="1">
      <alignment/>
    </xf>
    <xf numFmtId="173" fontId="0" fillId="0" borderId="15" xfId="0" applyNumberFormat="1" applyFill="1" applyBorder="1" applyAlignment="1">
      <alignment/>
    </xf>
    <xf numFmtId="2" fontId="0" fillId="0" borderId="8" xfId="0" applyNumberFormat="1" applyFill="1" applyBorder="1" applyAlignment="1">
      <alignment/>
    </xf>
    <xf numFmtId="2" fontId="0" fillId="0" borderId="16" xfId="0" applyNumberFormat="1" applyFill="1" applyBorder="1" applyAlignment="1">
      <alignment/>
    </xf>
    <xf numFmtId="173" fontId="0" fillId="0" borderId="16" xfId="0" applyNumberFormat="1" applyFill="1" applyBorder="1" applyAlignment="1">
      <alignment/>
    </xf>
    <xf numFmtId="2" fontId="0" fillId="0" borderId="5" xfId="0" applyNumberFormat="1" applyFill="1" applyBorder="1" applyAlignment="1" applyProtection="1">
      <alignment/>
      <protection locked="0"/>
    </xf>
    <xf numFmtId="2" fontId="0" fillId="0" borderId="15" xfId="0" applyNumberFormat="1" applyFill="1" applyBorder="1" applyAlignment="1" applyProtection="1">
      <alignment/>
      <protection locked="0"/>
    </xf>
    <xf numFmtId="173" fontId="0" fillId="0" borderId="4" xfId="0" applyNumberFormat="1" applyFill="1" applyBorder="1" applyAlignment="1">
      <alignment/>
    </xf>
    <xf numFmtId="2" fontId="0" fillId="0" borderId="8" xfId="0" applyNumberFormat="1" applyFill="1" applyBorder="1" applyAlignment="1" applyProtection="1">
      <alignment/>
      <protection locked="0"/>
    </xf>
    <xf numFmtId="2" fontId="0" fillId="0" borderId="16" xfId="0" applyNumberFormat="1" applyFill="1" applyBorder="1" applyAlignment="1" applyProtection="1">
      <alignment/>
      <protection locked="0"/>
    </xf>
    <xf numFmtId="173" fontId="0" fillId="0" borderId="6" xfId="0" applyNumberFormat="1" applyFill="1" applyBorder="1" applyAlignment="1">
      <alignment/>
    </xf>
    <xf numFmtId="0" fontId="30" fillId="13" borderId="26" xfId="0" applyFont="1" applyFill="1" applyBorder="1" applyAlignment="1">
      <alignment horizontal="center"/>
    </xf>
    <xf numFmtId="173" fontId="18" fillId="13" borderId="0" xfId="0" applyNumberFormat="1" applyFont="1" applyFill="1" applyBorder="1" applyAlignment="1">
      <alignment/>
    </xf>
    <xf numFmtId="175" fontId="18" fillId="13" borderId="0" xfId="0" applyNumberFormat="1" applyFont="1" applyFill="1" applyBorder="1" applyAlignment="1">
      <alignment/>
    </xf>
    <xf numFmtId="173" fontId="18" fillId="13" borderId="25" xfId="0" applyNumberFormat="1" applyFont="1" applyFill="1" applyBorder="1" applyAlignment="1">
      <alignment/>
    </xf>
    <xf numFmtId="175" fontId="0" fillId="13" borderId="25" xfId="0" applyNumberFormat="1" applyFill="1" applyBorder="1" applyAlignment="1">
      <alignment/>
    </xf>
    <xf numFmtId="173" fontId="0" fillId="13" borderId="25" xfId="0" applyNumberFormat="1" applyFill="1" applyBorder="1" applyAlignment="1">
      <alignment/>
    </xf>
    <xf numFmtId="0" fontId="26" fillId="0" borderId="9" xfId="0" applyFont="1" applyBorder="1" applyAlignment="1">
      <alignment/>
    </xf>
    <xf numFmtId="0" fontId="26" fillId="0" borderId="10" xfId="0" applyFont="1" applyBorder="1" applyAlignment="1">
      <alignment horizontal="center"/>
    </xf>
    <xf numFmtId="0" fontId="26" fillId="0" borderId="11" xfId="0" applyFont="1" applyBorder="1" applyAlignment="1">
      <alignment horizontal="center"/>
    </xf>
    <xf numFmtId="0" fontId="26" fillId="0" borderId="12" xfId="0" applyFont="1" applyBorder="1" applyAlignment="1">
      <alignment/>
    </xf>
    <xf numFmtId="0" fontId="26" fillId="0" borderId="13" xfId="0" applyFont="1" applyBorder="1" applyAlignment="1">
      <alignment horizontal="center"/>
    </xf>
    <xf numFmtId="0" fontId="26" fillId="0" borderId="14" xfId="0" applyFont="1" applyBorder="1" applyAlignment="1">
      <alignment horizontal="center"/>
    </xf>
    <xf numFmtId="0" fontId="26" fillId="0" borderId="12" xfId="0" applyFont="1" applyBorder="1" applyAlignment="1">
      <alignment horizontal="center"/>
    </xf>
    <xf numFmtId="0" fontId="26" fillId="0" borderId="4" xfId="0" applyFont="1" applyBorder="1" applyAlignment="1">
      <alignment horizontal="center"/>
    </xf>
    <xf numFmtId="0" fontId="26" fillId="0" borderId="6" xfId="0" applyFont="1" applyBorder="1" applyAlignment="1">
      <alignment horizontal="center"/>
    </xf>
    <xf numFmtId="0" fontId="26" fillId="0" borderId="4" xfId="0" applyFont="1" applyBorder="1" applyAlignment="1">
      <alignment/>
    </xf>
    <xf numFmtId="0" fontId="26" fillId="0" borderId="6" xfId="0" applyFont="1" applyBorder="1" applyAlignment="1">
      <alignment/>
    </xf>
    <xf numFmtId="2" fontId="26" fillId="0" borderId="17" xfId="0" applyNumberFormat="1" applyFont="1" applyBorder="1" applyAlignment="1">
      <alignment horizontal="center"/>
    </xf>
    <xf numFmtId="0" fontId="26" fillId="0" borderId="11" xfId="0" applyFont="1" applyFill="1" applyBorder="1" applyAlignment="1">
      <alignment horizontal="center"/>
    </xf>
    <xf numFmtId="2" fontId="26" fillId="0" borderId="21" xfId="0" applyNumberFormat="1" applyFont="1" applyBorder="1" applyAlignment="1">
      <alignment horizontal="center"/>
    </xf>
    <xf numFmtId="0" fontId="26" fillId="0" borderId="0" xfId="0" applyFont="1" applyBorder="1" applyAlignment="1">
      <alignment/>
    </xf>
    <xf numFmtId="0" fontId="26" fillId="0" borderId="1" xfId="0" applyFont="1" applyBorder="1" applyAlignment="1">
      <alignment horizontal="center"/>
    </xf>
    <xf numFmtId="0" fontId="26" fillId="0" borderId="3" xfId="0" applyFont="1" applyBorder="1" applyAlignment="1">
      <alignment horizontal="center"/>
    </xf>
    <xf numFmtId="0" fontId="26" fillId="0" borderId="4" xfId="0" applyFont="1" applyFill="1" applyBorder="1" applyAlignment="1">
      <alignment/>
    </xf>
    <xf numFmtId="0" fontId="26" fillId="6" borderId="4" xfId="0" applyFont="1" applyFill="1" applyBorder="1" applyAlignment="1">
      <alignment/>
    </xf>
    <xf numFmtId="0" fontId="26" fillId="0" borderId="6" xfId="0" applyFont="1" applyFill="1" applyBorder="1" applyAlignment="1">
      <alignment/>
    </xf>
    <xf numFmtId="0" fontId="26" fillId="0" borderId="22" xfId="0" applyFont="1" applyBorder="1" applyAlignment="1">
      <alignment/>
    </xf>
    <xf numFmtId="0" fontId="46" fillId="0" borderId="10" xfId="0" applyFont="1" applyBorder="1" applyAlignment="1">
      <alignment/>
    </xf>
    <xf numFmtId="0" fontId="46" fillId="0" borderId="17" xfId="0" applyFont="1" applyBorder="1" applyAlignment="1">
      <alignment horizontal="center"/>
    </xf>
    <xf numFmtId="2" fontId="46" fillId="0" borderId="10" xfId="0" applyNumberFormat="1" applyFont="1" applyBorder="1" applyAlignment="1">
      <alignment horizontal="center"/>
    </xf>
    <xf numFmtId="2" fontId="46" fillId="0" borderId="11" xfId="0" applyNumberFormat="1" applyFont="1" applyBorder="1" applyAlignment="1">
      <alignment horizontal="center"/>
    </xf>
    <xf numFmtId="0" fontId="46" fillId="0" borderId="10" xfId="0" applyFont="1" applyBorder="1" applyAlignment="1">
      <alignment horizontal="center"/>
    </xf>
    <xf numFmtId="0" fontId="46" fillId="0" borderId="13" xfId="0" applyFont="1" applyBorder="1" applyAlignment="1">
      <alignment/>
    </xf>
    <xf numFmtId="2" fontId="46" fillId="0" borderId="21" xfId="0" applyNumberFormat="1" applyFont="1" applyBorder="1" applyAlignment="1">
      <alignment horizontal="center"/>
    </xf>
    <xf numFmtId="0" fontId="46" fillId="0" borderId="13" xfId="0" applyFont="1" applyBorder="1" applyAlignment="1">
      <alignment horizontal="center"/>
    </xf>
    <xf numFmtId="0" fontId="46" fillId="0" borderId="14" xfId="0" applyFont="1" applyBorder="1" applyAlignment="1">
      <alignment horizontal="center"/>
    </xf>
    <xf numFmtId="0" fontId="46" fillId="0" borderId="21" xfId="0" applyFont="1" applyBorder="1" applyAlignment="1">
      <alignment horizontal="center"/>
    </xf>
    <xf numFmtId="0" fontId="46" fillId="0" borderId="3" xfId="0" applyFont="1" applyBorder="1" applyAlignment="1">
      <alignment horizontal="center"/>
    </xf>
    <xf numFmtId="0" fontId="26" fillId="0" borderId="5" xfId="0" applyFont="1" applyBorder="1" applyAlignment="1">
      <alignment/>
    </xf>
    <xf numFmtId="0" fontId="26" fillId="0" borderId="8" xfId="0" applyFont="1" applyBorder="1" applyAlignment="1">
      <alignment/>
    </xf>
    <xf numFmtId="0" fontId="26" fillId="0" borderId="9" xfId="0" applyFont="1" applyBorder="1" applyAlignment="1">
      <alignment horizontal="center"/>
    </xf>
    <xf numFmtId="0" fontId="26" fillId="0" borderId="20" xfId="0" applyFont="1" applyBorder="1" applyAlignment="1">
      <alignment horizontal="center"/>
    </xf>
    <xf numFmtId="0" fontId="46" fillId="0" borderId="9" xfId="0" applyFont="1" applyBorder="1" applyAlignment="1">
      <alignment horizontal="center"/>
    </xf>
    <xf numFmtId="2" fontId="46" fillId="0" borderId="17" xfId="0" applyNumberFormat="1" applyFont="1" applyBorder="1" applyAlignment="1">
      <alignment horizontal="center"/>
    </xf>
    <xf numFmtId="0" fontId="46" fillId="0" borderId="12" xfId="0" applyFont="1" applyBorder="1" applyAlignment="1">
      <alignment horizontal="center"/>
    </xf>
    <xf numFmtId="2" fontId="46" fillId="0" borderId="13" xfId="0" applyNumberFormat="1" applyFont="1" applyBorder="1" applyAlignment="1">
      <alignment horizontal="center"/>
    </xf>
    <xf numFmtId="0" fontId="26" fillId="0" borderId="0" xfId="0" applyFont="1" applyAlignment="1">
      <alignment/>
    </xf>
    <xf numFmtId="0" fontId="26" fillId="0" borderId="4" xfId="0" applyFont="1" applyFill="1" applyBorder="1" applyAlignment="1">
      <alignment/>
    </xf>
    <xf numFmtId="0" fontId="26" fillId="0" borderId="6" xfId="0" applyFont="1" applyFill="1" applyBorder="1" applyAlignment="1">
      <alignment/>
    </xf>
    <xf numFmtId="0" fontId="26" fillId="0" borderId="0" xfId="0" applyFont="1" applyFill="1" applyBorder="1" applyAlignment="1">
      <alignment/>
    </xf>
    <xf numFmtId="0" fontId="26" fillId="0" borderId="25" xfId="0" applyFont="1" applyFill="1" applyBorder="1" applyAlignment="1">
      <alignment/>
    </xf>
    <xf numFmtId="0" fontId="47" fillId="0" borderId="0" xfId="0" applyFont="1" applyFill="1" applyBorder="1" applyAlignment="1">
      <alignment/>
    </xf>
    <xf numFmtId="0" fontId="46" fillId="0" borderId="26" xfId="0" applyFont="1" applyFill="1" applyBorder="1" applyAlignment="1">
      <alignment horizontal="center"/>
    </xf>
    <xf numFmtId="0" fontId="26" fillId="0" borderId="27" xfId="0" applyFont="1" applyBorder="1" applyAlignment="1">
      <alignment/>
    </xf>
    <xf numFmtId="0" fontId="26" fillId="0" borderId="17" xfId="0" applyFont="1" applyBorder="1" applyAlignment="1">
      <alignment horizontal="center"/>
    </xf>
    <xf numFmtId="0" fontId="26" fillId="0" borderId="12" xfId="0" applyFont="1" applyFill="1" applyBorder="1" applyAlignment="1">
      <alignment horizontal="center"/>
    </xf>
    <xf numFmtId="0" fontId="26" fillId="0" borderId="13" xfId="0" applyFont="1" applyFill="1" applyBorder="1" applyAlignment="1">
      <alignment horizontal="center"/>
    </xf>
    <xf numFmtId="0" fontId="26" fillId="0" borderId="21" xfId="0" applyFont="1" applyFill="1" applyBorder="1" applyAlignment="1">
      <alignment horizontal="center"/>
    </xf>
    <xf numFmtId="0" fontId="26" fillId="0" borderId="14" xfId="0" applyFont="1" applyFill="1" applyBorder="1" applyAlignment="1">
      <alignment horizontal="center"/>
    </xf>
    <xf numFmtId="0" fontId="26" fillId="0" borderId="4" xfId="0" applyFont="1" applyFill="1" applyBorder="1" applyAlignment="1">
      <alignment horizontal="center"/>
    </xf>
    <xf numFmtId="0" fontId="26" fillId="0" borderId="6" xfId="0" applyFont="1" applyFill="1" applyBorder="1" applyAlignment="1">
      <alignment horizontal="center"/>
    </xf>
    <xf numFmtId="0" fontId="26" fillId="0" borderId="10" xfId="0" applyFont="1" applyBorder="1" applyAlignment="1">
      <alignment/>
    </xf>
    <xf numFmtId="0" fontId="26" fillId="6" borderId="3" xfId="0" applyFont="1" applyFill="1" applyBorder="1" applyAlignment="1">
      <alignment horizontal="center"/>
    </xf>
    <xf numFmtId="0" fontId="26" fillId="6" borderId="1" xfId="0" applyFont="1" applyFill="1" applyBorder="1" applyAlignment="1">
      <alignment horizontal="center"/>
    </xf>
    <xf numFmtId="0" fontId="26" fillId="0" borderId="4" xfId="0" applyFont="1" applyBorder="1" applyAlignment="1">
      <alignment horizontal="right"/>
    </xf>
    <xf numFmtId="0" fontId="26" fillId="0" borderId="6" xfId="0" applyFont="1" applyBorder="1" applyAlignment="1">
      <alignment horizontal="right"/>
    </xf>
    <xf numFmtId="0" fontId="26" fillId="0" borderId="22" xfId="0" applyFont="1" applyBorder="1" applyAlignment="1">
      <alignment horizontal="center"/>
    </xf>
    <xf numFmtId="0" fontId="26" fillId="0" borderId="23" xfId="0" applyFont="1" applyBorder="1" applyAlignment="1">
      <alignment horizontal="center"/>
    </xf>
    <xf numFmtId="0" fontId="26" fillId="0" borderId="10" xfId="0" applyFont="1" applyFill="1" applyBorder="1" applyAlignment="1">
      <alignment horizontal="center"/>
    </xf>
    <xf numFmtId="0" fontId="26" fillId="0" borderId="27" xfId="0" applyFont="1" applyFill="1" applyBorder="1" applyAlignment="1">
      <alignment horizontal="center"/>
    </xf>
    <xf numFmtId="175" fontId="26" fillId="0" borderId="29" xfId="0" applyNumberFormat="1" applyFont="1" applyBorder="1" applyAlignment="1">
      <alignment horizontal="center"/>
    </xf>
    <xf numFmtId="0" fontId="26" fillId="0" borderId="24" xfId="0" applyFont="1" applyBorder="1" applyAlignment="1">
      <alignment horizontal="center"/>
    </xf>
    <xf numFmtId="0" fontId="26" fillId="13" borderId="0" xfId="0" applyFont="1" applyFill="1" applyBorder="1" applyAlignment="1">
      <alignment/>
    </xf>
    <xf numFmtId="0" fontId="26" fillId="13" borderId="25" xfId="0" applyFont="1" applyFill="1" applyBorder="1" applyAlignment="1">
      <alignment/>
    </xf>
    <xf numFmtId="0" fontId="46" fillId="13" borderId="26" xfId="0" applyFont="1" applyFill="1" applyBorder="1" applyAlignment="1">
      <alignment horizontal="center"/>
    </xf>
    <xf numFmtId="0" fontId="26" fillId="0" borderId="1" xfId="0" applyFont="1" applyFill="1" applyBorder="1" applyAlignment="1">
      <alignment/>
    </xf>
    <xf numFmtId="0" fontId="26" fillId="0" borderId="5" xfId="0" applyFont="1" applyBorder="1" applyAlignment="1">
      <alignment horizontal="center"/>
    </xf>
    <xf numFmtId="0" fontId="26" fillId="0" borderId="15" xfId="0" applyFont="1" applyBorder="1" applyAlignment="1">
      <alignment horizontal="center"/>
    </xf>
    <xf numFmtId="0" fontId="47" fillId="0" borderId="28" xfId="0" applyFont="1" applyFill="1" applyBorder="1" applyAlignment="1">
      <alignment/>
    </xf>
    <xf numFmtId="0" fontId="26" fillId="0" borderId="1" xfId="0" applyFont="1" applyBorder="1" applyAlignment="1">
      <alignment/>
    </xf>
    <xf numFmtId="0" fontId="26" fillId="0" borderId="9" xfId="0" applyFont="1" applyFill="1" applyBorder="1" applyAlignment="1">
      <alignment horizontal="left"/>
    </xf>
    <xf numFmtId="173" fontId="26" fillId="0" borderId="13" xfId="0" applyNumberFormat="1" applyFont="1" applyBorder="1" applyAlignment="1">
      <alignment horizontal="center"/>
    </xf>
    <xf numFmtId="0" fontId="26" fillId="0" borderId="9" xfId="0" applyFont="1" applyFill="1" applyBorder="1" applyAlignment="1">
      <alignment/>
    </xf>
    <xf numFmtId="173" fontId="18" fillId="7" borderId="0" xfId="0" applyNumberFormat="1" applyFont="1" applyFill="1" applyBorder="1" applyAlignment="1">
      <alignment/>
    </xf>
    <xf numFmtId="173" fontId="0" fillId="7" borderId="0" xfId="0" applyNumberFormat="1" applyFill="1" applyBorder="1" applyAlignment="1">
      <alignment/>
    </xf>
    <xf numFmtId="175" fontId="18" fillId="13" borderId="25" xfId="0" applyNumberFormat="1" applyFont="1" applyFill="1" applyBorder="1" applyAlignment="1">
      <alignment/>
    </xf>
    <xf numFmtId="0" fontId="26" fillId="0" borderId="0" xfId="0" applyFont="1" applyFill="1" applyAlignment="1">
      <alignment/>
    </xf>
    <xf numFmtId="0" fontId="46" fillId="0" borderId="26" xfId="0" applyFont="1" applyFill="1" applyBorder="1" applyAlignment="1">
      <alignment horizontal="centerContinuous"/>
    </xf>
    <xf numFmtId="0" fontId="30" fillId="0" borderId="26" xfId="0" applyFont="1" applyFill="1" applyBorder="1" applyAlignment="1">
      <alignment horizontal="centerContinuous"/>
    </xf>
    <xf numFmtId="0" fontId="46" fillId="0" borderId="9" xfId="0" applyFont="1" applyFill="1" applyBorder="1" applyAlignment="1">
      <alignment horizontal="center"/>
    </xf>
    <xf numFmtId="0" fontId="46" fillId="0" borderId="10" xfId="0" applyFont="1" applyFill="1" applyBorder="1" applyAlignment="1">
      <alignment horizontal="center"/>
    </xf>
    <xf numFmtId="0" fontId="46" fillId="0" borderId="17" xfId="0" applyFont="1" applyFill="1" applyBorder="1" applyAlignment="1">
      <alignment horizontal="center"/>
    </xf>
    <xf numFmtId="0" fontId="46" fillId="0" borderId="12" xfId="0" applyFont="1" applyFill="1" applyBorder="1" applyAlignment="1">
      <alignment horizontal="center"/>
    </xf>
    <xf numFmtId="0" fontId="46" fillId="0" borderId="13" xfId="0" applyFont="1" applyFill="1" applyBorder="1" applyAlignment="1">
      <alignment horizontal="center"/>
    </xf>
    <xf numFmtId="0" fontId="46" fillId="0" borderId="21" xfId="0" applyFont="1" applyFill="1" applyBorder="1" applyAlignment="1">
      <alignment horizontal="center"/>
    </xf>
    <xf numFmtId="0" fontId="46" fillId="0" borderId="14" xfId="0" applyFont="1" applyFill="1" applyBorder="1" applyAlignment="1">
      <alignment horizontal="center"/>
    </xf>
    <xf numFmtId="4" fontId="0" fillId="0" borderId="0" xfId="0" applyNumberFormat="1" applyFill="1" applyBorder="1" applyAlignment="1">
      <alignment/>
    </xf>
    <xf numFmtId="2" fontId="0" fillId="0" borderId="0" xfId="0" applyNumberFormat="1" applyFill="1" applyAlignment="1">
      <alignment/>
    </xf>
    <xf numFmtId="4" fontId="0" fillId="0" borderId="25" xfId="0" applyNumberFormat="1" applyFill="1" applyBorder="1" applyAlignment="1">
      <alignment/>
    </xf>
    <xf numFmtId="0" fontId="0" fillId="0" borderId="25" xfId="0" applyFill="1" applyBorder="1" applyAlignment="1">
      <alignment/>
    </xf>
    <xf numFmtId="182" fontId="0" fillId="0" borderId="0" xfId="0" applyNumberFormat="1" applyFill="1" applyBorder="1" applyAlignment="1">
      <alignment/>
    </xf>
    <xf numFmtId="172" fontId="0" fillId="0" borderId="0" xfId="0" applyNumberFormat="1" applyFill="1" applyAlignment="1">
      <alignment/>
    </xf>
    <xf numFmtId="182" fontId="0" fillId="0" borderId="25" xfId="0" applyNumberFormat="1" applyFill="1" applyBorder="1" applyAlignment="1">
      <alignment/>
    </xf>
    <xf numFmtId="177" fontId="0" fillId="7" borderId="25" xfId="0" applyNumberFormat="1" applyFill="1" applyBorder="1" applyAlignment="1">
      <alignment/>
    </xf>
    <xf numFmtId="177" fontId="0" fillId="0" borderId="0" xfId="0" applyNumberFormat="1" applyFill="1" applyBorder="1" applyAlignment="1">
      <alignment/>
    </xf>
    <xf numFmtId="177" fontId="0" fillId="0" borderId="25" xfId="0" applyNumberFormat="1" applyFill="1" applyBorder="1" applyAlignment="1">
      <alignment/>
    </xf>
    <xf numFmtId="177" fontId="0" fillId="0" borderId="8" xfId="0" applyNumberFormat="1" applyBorder="1" applyAlignment="1">
      <alignment/>
    </xf>
    <xf numFmtId="0" fontId="49" fillId="0" borderId="0" xfId="0" applyFont="1" applyAlignment="1" applyProtection="1">
      <alignment/>
      <protection hidden="1"/>
    </xf>
    <xf numFmtId="172" fontId="49" fillId="0" borderId="0" xfId="0" applyNumberFormat="1" applyFont="1" applyAlignment="1" applyProtection="1">
      <alignment/>
      <protection hidden="1"/>
    </xf>
    <xf numFmtId="2" fontId="49" fillId="0" borderId="0" xfId="0" applyNumberFormat="1" applyFont="1" applyAlignment="1" applyProtection="1">
      <alignment/>
      <protection hidden="1"/>
    </xf>
    <xf numFmtId="1" fontId="49" fillId="0" borderId="0" xfId="0" applyNumberFormat="1" applyFont="1" applyAlignment="1" applyProtection="1">
      <alignment/>
      <protection hidden="1"/>
    </xf>
    <xf numFmtId="0" fontId="49" fillId="0" borderId="0" xfId="0" applyFont="1" applyAlignment="1" applyProtection="1">
      <alignment horizontal="center"/>
      <protection hidden="1"/>
    </xf>
    <xf numFmtId="175" fontId="49" fillId="0" borderId="0" xfId="0" applyNumberFormat="1" applyFont="1" applyAlignment="1" applyProtection="1">
      <alignment/>
      <protection hidden="1"/>
    </xf>
    <xf numFmtId="0" fontId="49" fillId="0" borderId="9" xfId="0" applyFont="1" applyBorder="1" applyAlignment="1" applyProtection="1">
      <alignment/>
      <protection hidden="1"/>
    </xf>
    <xf numFmtId="0" fontId="49" fillId="0" borderId="10" xfId="0" applyFont="1" applyBorder="1" applyAlignment="1" applyProtection="1">
      <alignment horizontal="center"/>
      <protection hidden="1"/>
    </xf>
    <xf numFmtId="0" fontId="49" fillId="0" borderId="11" xfId="0" applyFont="1" applyBorder="1" applyAlignment="1" applyProtection="1">
      <alignment horizontal="center"/>
      <protection hidden="1"/>
    </xf>
    <xf numFmtId="0" fontId="49" fillId="0" borderId="4" xfId="0" applyFont="1" applyBorder="1" applyAlignment="1" applyProtection="1">
      <alignment/>
      <protection hidden="1"/>
    </xf>
    <xf numFmtId="0" fontId="49" fillId="0" borderId="5" xfId="0" applyFont="1" applyBorder="1" applyAlignment="1" applyProtection="1">
      <alignment horizontal="center"/>
      <protection hidden="1"/>
    </xf>
    <xf numFmtId="0" fontId="49" fillId="0" borderId="15" xfId="0" applyFont="1" applyBorder="1" applyAlignment="1" applyProtection="1">
      <alignment horizontal="center"/>
      <protection hidden="1"/>
    </xf>
    <xf numFmtId="0" fontId="49" fillId="0" borderId="12" xfId="0" applyFont="1" applyBorder="1" applyAlignment="1" applyProtection="1">
      <alignment/>
      <protection hidden="1"/>
    </xf>
    <xf numFmtId="0" fontId="50" fillId="0" borderId="13" xfId="0" applyFont="1" applyBorder="1" applyAlignment="1" applyProtection="1">
      <alignment horizontal="center"/>
      <protection hidden="1"/>
    </xf>
    <xf numFmtId="0" fontId="50" fillId="0" borderId="14" xfId="0" applyFont="1" applyBorder="1" applyAlignment="1" applyProtection="1">
      <alignment horizontal="center"/>
      <protection hidden="1"/>
    </xf>
    <xf numFmtId="0" fontId="49" fillId="0" borderId="5" xfId="0" applyFont="1" applyBorder="1" applyAlignment="1" applyProtection="1">
      <alignment/>
      <protection hidden="1"/>
    </xf>
    <xf numFmtId="0" fontId="49" fillId="0" borderId="15" xfId="0" applyFont="1" applyBorder="1" applyAlignment="1" applyProtection="1">
      <alignment/>
      <protection hidden="1"/>
    </xf>
    <xf numFmtId="176" fontId="49" fillId="0" borderId="0" xfId="0" applyNumberFormat="1" applyFont="1" applyAlignment="1" applyProtection="1">
      <alignment/>
      <protection hidden="1"/>
    </xf>
    <xf numFmtId="0" fontId="49" fillId="7" borderId="0" xfId="0" applyFont="1" applyFill="1" applyAlignment="1" applyProtection="1">
      <alignment/>
      <protection hidden="1"/>
    </xf>
    <xf numFmtId="0" fontId="49" fillId="0" borderId="6" xfId="0" applyFont="1" applyBorder="1" applyAlignment="1" applyProtection="1">
      <alignment/>
      <protection hidden="1"/>
    </xf>
    <xf numFmtId="0" fontId="49" fillId="0" borderId="8" xfId="0" applyFont="1" applyBorder="1" applyAlignment="1" applyProtection="1">
      <alignment/>
      <protection hidden="1"/>
    </xf>
    <xf numFmtId="0" fontId="49" fillId="0" borderId="16" xfId="0" applyFont="1" applyBorder="1" applyAlignment="1" applyProtection="1">
      <alignment/>
      <protection hidden="1"/>
    </xf>
    <xf numFmtId="0" fontId="23" fillId="0" borderId="30" xfId="0" applyFont="1" applyBorder="1" applyAlignment="1">
      <alignment horizontal="center"/>
    </xf>
    <xf numFmtId="0" fontId="23" fillId="0" borderId="32" xfId="0" applyFont="1" applyBorder="1" applyAlignment="1">
      <alignment horizontal="center"/>
    </xf>
    <xf numFmtId="0" fontId="6" fillId="0" borderId="30" xfId="0" applyFont="1" applyBorder="1" applyAlignment="1">
      <alignment horizontal="center"/>
    </xf>
    <xf numFmtId="0" fontId="6" fillId="0" borderId="32" xfId="0" applyFont="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9" xfId="0" applyFill="1" applyBorder="1" applyAlignment="1">
      <alignment horizontal="center"/>
    </xf>
    <xf numFmtId="0" fontId="23" fillId="13" borderId="30" xfId="0" applyFont="1" applyFill="1" applyBorder="1" applyAlignment="1">
      <alignment horizontal="center"/>
    </xf>
    <xf numFmtId="0" fontId="23" fillId="13" borderId="32" xfId="0" applyFont="1"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26" fillId="0" borderId="30" xfId="0" applyFont="1" applyBorder="1" applyAlignment="1">
      <alignment horizontal="center"/>
    </xf>
    <xf numFmtId="0" fontId="26" fillId="0" borderId="32" xfId="0" applyFont="1" applyBorder="1" applyAlignment="1">
      <alignment horizontal="center"/>
    </xf>
    <xf numFmtId="0" fontId="26" fillId="0" borderId="30" xfId="0" applyFont="1" applyFill="1" applyBorder="1" applyAlignment="1">
      <alignment horizontal="center"/>
    </xf>
    <xf numFmtId="0" fontId="26" fillId="0" borderId="32" xfId="0" applyFont="1" applyFill="1" applyBorder="1" applyAlignment="1">
      <alignment horizontal="center"/>
    </xf>
    <xf numFmtId="0" fontId="46" fillId="0" borderId="30" xfId="0" applyFont="1" applyBorder="1" applyAlignment="1">
      <alignment horizontal="center"/>
    </xf>
    <xf numFmtId="0" fontId="46" fillId="0" borderId="32" xfId="0" applyFont="1" applyBorder="1" applyAlignment="1">
      <alignment horizontal="center"/>
    </xf>
    <xf numFmtId="0" fontId="26" fillId="0" borderId="9" xfId="0" applyFont="1" applyFill="1" applyBorder="1" applyAlignment="1">
      <alignment horizontal="center"/>
    </xf>
    <xf numFmtId="0" fontId="26" fillId="0" borderId="31" xfId="0" applyFont="1" applyFill="1" applyBorder="1" applyAlignment="1">
      <alignment horizontal="center"/>
    </xf>
    <xf numFmtId="0" fontId="26" fillId="0" borderId="31" xfId="0" applyFont="1" applyBorder="1" applyAlignment="1">
      <alignment horizontal="center"/>
    </xf>
    <xf numFmtId="0" fontId="46" fillId="0" borderId="30" xfId="0" applyFont="1" applyFill="1" applyBorder="1" applyAlignment="1">
      <alignment horizontal="center"/>
    </xf>
    <xf numFmtId="0" fontId="46" fillId="0" borderId="32" xfId="0" applyFont="1" applyFill="1" applyBorder="1" applyAlignment="1">
      <alignment horizontal="center"/>
    </xf>
    <xf numFmtId="0" fontId="0" fillId="0" borderId="30"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31" xfId="0" applyBorder="1" applyAlignment="1" applyProtection="1">
      <alignment horizontal="center"/>
      <protection hidden="1"/>
    </xf>
    <xf numFmtId="0" fontId="6" fillId="0" borderId="30" xfId="0" applyFont="1" applyBorder="1" applyAlignment="1" applyProtection="1">
      <alignment horizontal="center"/>
      <protection hidden="1"/>
    </xf>
    <xf numFmtId="0" fontId="6" fillId="0" borderId="32" xfId="0" applyFont="1" applyBorder="1" applyAlignment="1" applyProtection="1">
      <alignment horizontal="center"/>
      <protection hidden="1"/>
    </xf>
    <xf numFmtId="0" fontId="0" fillId="0" borderId="9"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6" xfId="0"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Diagrama de Dispersión</a:t>
            </a:r>
          </a:p>
        </c:rich>
      </c:tx>
      <c:layout/>
      <c:spPr>
        <a:noFill/>
        <a:ln>
          <a:noFill/>
        </a:ln>
      </c:spPr>
    </c:title>
    <c:plotArea>
      <c:layout/>
      <c:scatterChart>
        <c:scatterStyle val="lineMarker"/>
        <c:varyColors val="0"/>
        <c:ser>
          <c:idx val="0"/>
          <c:order val="0"/>
          <c:tx>
            <c:strRef>
              <c:f>Ejemplos!$C$98</c:f>
              <c:strCache>
                <c:ptCount val="1"/>
                <c:pt idx="0">
                  <c:v>Hijos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Ejemplos!$B$99:$B$183</c:f>
              <c:numCach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xVal>
          <c:yVal>
            <c:numRef>
              <c:f>Ejemplos!$C$99:$C$183</c:f>
              <c:numCach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yVal>
          <c:smooth val="0"/>
        </c:ser>
        <c:axId val="42294022"/>
        <c:axId val="45101879"/>
      </c:scatterChart>
      <c:valAx>
        <c:axId val="42294022"/>
        <c:scaling>
          <c:orientation val="minMax"/>
          <c:max val="1.9"/>
          <c:min val="1.4"/>
        </c:scaling>
        <c:axPos val="b"/>
        <c:title>
          <c:tx>
            <c:rich>
              <a:bodyPr vert="horz" rot="0" anchor="ctr"/>
              <a:lstStyle/>
              <a:p>
                <a:pPr algn="ctr">
                  <a:defRPr/>
                </a:pPr>
                <a:r>
                  <a:rPr lang="en-US" cap="none" sz="1200" b="1" i="0" u="none" baseline="0">
                    <a:latin typeface="Arial"/>
                    <a:ea typeface="Arial"/>
                    <a:cs typeface="Arial"/>
                  </a:rPr>
                  <a:t>Estatura de los padres m</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45101879"/>
        <c:crosses val="autoZero"/>
        <c:crossBetween val="midCat"/>
        <c:dispUnits/>
      </c:valAx>
      <c:valAx>
        <c:axId val="45101879"/>
        <c:scaling>
          <c:orientation val="minMax"/>
          <c:max val="1.9"/>
          <c:min val="1.5"/>
        </c:scaling>
        <c:axPos val="l"/>
        <c:title>
          <c:tx>
            <c:rich>
              <a:bodyPr vert="horz" rot="-5400000" anchor="ctr"/>
              <a:lstStyle/>
              <a:p>
                <a:pPr algn="ctr">
                  <a:defRPr/>
                </a:pPr>
                <a:r>
                  <a:rPr lang="en-US" cap="none" sz="1200" b="1" i="0" u="none" baseline="0">
                    <a:latin typeface="Arial"/>
                    <a:ea typeface="Arial"/>
                    <a:cs typeface="Arial"/>
                  </a:rPr>
                  <a:t>Estatura de los hijos 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4229402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CC"/>
    </a:solidFill>
  </c:spPr>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Efecto Cúbico (No Significativo)</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Ejemplos!$A$904:$A$908</c:f>
              <c:numCache>
                <c:ptCount val="5"/>
                <c:pt idx="0">
                  <c:v>0</c:v>
                </c:pt>
                <c:pt idx="1">
                  <c:v>0</c:v>
                </c:pt>
                <c:pt idx="2">
                  <c:v>0</c:v>
                </c:pt>
                <c:pt idx="3">
                  <c:v>0</c:v>
                </c:pt>
                <c:pt idx="4">
                  <c:v>0</c:v>
                </c:pt>
              </c:numCache>
            </c:numRef>
          </c:cat>
          <c:val>
            <c:numRef>
              <c:f>Ejemplos!$F$904:$F$908</c:f>
              <c:numCache>
                <c:ptCount val="5"/>
                <c:pt idx="0">
                  <c:v>0</c:v>
                </c:pt>
                <c:pt idx="1">
                  <c:v>0</c:v>
                </c:pt>
                <c:pt idx="2">
                  <c:v>0</c:v>
                </c:pt>
                <c:pt idx="3">
                  <c:v>0</c:v>
                </c:pt>
                <c:pt idx="4">
                  <c:v>0</c:v>
                </c:pt>
              </c:numCache>
            </c:numRef>
          </c:val>
        </c:ser>
        <c:gapWidth val="0"/>
        <c:axId val="18754752"/>
        <c:axId val="34575041"/>
      </c:barChart>
      <c:catAx>
        <c:axId val="18754752"/>
        <c:scaling>
          <c:orientation val="minMax"/>
        </c:scaling>
        <c:axPos val="l"/>
        <c:title>
          <c:tx>
            <c:rich>
              <a:bodyPr vert="horz" rot="-5400000" anchor="ctr"/>
              <a:lstStyle/>
              <a:p>
                <a:pPr algn="ctr">
                  <a:defRPr/>
                </a:pPr>
                <a:r>
                  <a:rPr lang="en-US" cap="none" sz="1150" b="1" i="0" u="none" baseline="0">
                    <a:latin typeface="Arial"/>
                    <a:ea typeface="Arial"/>
                    <a:cs typeface="Arial"/>
                  </a:rPr>
                  <a:t>Tratamientos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575041"/>
        <c:crosses val="autoZero"/>
        <c:auto val="1"/>
        <c:lblOffset val="100"/>
        <c:noMultiLvlLbl val="0"/>
      </c:catAx>
      <c:valAx>
        <c:axId val="34575041"/>
        <c:scaling>
          <c:orientation val="minMax"/>
        </c:scaling>
        <c:axPos val="b"/>
        <c:title>
          <c:tx>
            <c:rich>
              <a:bodyPr vert="horz" rot="0" anchor="ctr"/>
              <a:lstStyle/>
              <a:p>
                <a:pPr algn="ctr">
                  <a:defRPr/>
                </a:pPr>
                <a:r>
                  <a:rPr lang="en-US" cap="none" sz="1150" b="1" i="0" u="none" baseline="0">
                    <a:latin typeface="Arial"/>
                    <a:ea typeface="Arial"/>
                    <a:cs typeface="Arial"/>
                  </a:rPr>
                  <a:t>Kilogramps por parcela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75475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Efecto Cúbico</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Ejemplos!$A$904:$A$908</c:f>
              <c:numCache>
                <c:ptCount val="5"/>
                <c:pt idx="0">
                  <c:v>0</c:v>
                </c:pt>
                <c:pt idx="1">
                  <c:v>0</c:v>
                </c:pt>
                <c:pt idx="2">
                  <c:v>0</c:v>
                </c:pt>
                <c:pt idx="3">
                  <c:v>0</c:v>
                </c:pt>
                <c:pt idx="4">
                  <c:v>0</c:v>
                </c:pt>
              </c:numCache>
            </c:numRef>
          </c:cat>
          <c:val>
            <c:numRef>
              <c:f>Ejemplos!$G$904:$G$908</c:f>
              <c:numCache>
                <c:ptCount val="5"/>
                <c:pt idx="0">
                  <c:v>0</c:v>
                </c:pt>
                <c:pt idx="1">
                  <c:v>0</c:v>
                </c:pt>
                <c:pt idx="2">
                  <c:v>0</c:v>
                </c:pt>
                <c:pt idx="3">
                  <c:v>0</c:v>
                </c:pt>
                <c:pt idx="4">
                  <c:v>0</c:v>
                </c:pt>
              </c:numCache>
            </c:numRef>
          </c:val>
        </c:ser>
        <c:gapWidth val="0"/>
        <c:axId val="42739914"/>
        <c:axId val="49114907"/>
      </c:barChart>
      <c:catAx>
        <c:axId val="42739914"/>
        <c:scaling>
          <c:orientation val="minMax"/>
        </c:scaling>
        <c:axPos val="l"/>
        <c:title>
          <c:tx>
            <c:rich>
              <a:bodyPr vert="horz" rot="-5400000" anchor="ctr"/>
              <a:lstStyle/>
              <a:p>
                <a:pPr algn="ctr">
                  <a:defRPr/>
                </a:pPr>
                <a:r>
                  <a:rPr lang="en-US" cap="none" sz="1125" b="1" i="0" u="none" baseline="0">
                    <a:latin typeface="Arial"/>
                    <a:ea typeface="Arial"/>
                    <a:cs typeface="Arial"/>
                  </a:rPr>
                  <a:t>Distancia entre surcos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9114907"/>
        <c:crosses val="autoZero"/>
        <c:auto val="1"/>
        <c:lblOffset val="100"/>
        <c:noMultiLvlLbl val="0"/>
      </c:catAx>
      <c:valAx>
        <c:axId val="49114907"/>
        <c:scaling>
          <c:orientation val="minMax"/>
        </c:scaling>
        <c:axPos val="b"/>
        <c:title>
          <c:tx>
            <c:rich>
              <a:bodyPr vert="horz" rot="0" anchor="ctr"/>
              <a:lstStyle/>
              <a:p>
                <a:pPr algn="ctr">
                  <a:defRPr/>
                </a:pPr>
                <a:r>
                  <a:rPr lang="en-US" cap="none" sz="1125" b="1" i="0" u="none" baseline="0">
                    <a:latin typeface="Arial"/>
                    <a:ea typeface="Arial"/>
                    <a:cs typeface="Arial"/>
                  </a:rPr>
                  <a:t>Kilogramos por hectárea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273991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Efecto Cuártico</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Ejemplos!$A$937:$A$941</c:f>
              <c:numCache>
                <c:ptCount val="5"/>
                <c:pt idx="0">
                  <c:v>0</c:v>
                </c:pt>
                <c:pt idx="1">
                  <c:v>0</c:v>
                </c:pt>
                <c:pt idx="2">
                  <c:v>0</c:v>
                </c:pt>
                <c:pt idx="3">
                  <c:v>0</c:v>
                </c:pt>
                <c:pt idx="4">
                  <c:v>0</c:v>
                </c:pt>
              </c:numCache>
            </c:numRef>
          </c:cat>
          <c:val>
            <c:numRef>
              <c:f>Ejemplos!$F$937:$F$941</c:f>
              <c:numCache>
                <c:ptCount val="5"/>
                <c:pt idx="0">
                  <c:v>0</c:v>
                </c:pt>
                <c:pt idx="1">
                  <c:v>0</c:v>
                </c:pt>
                <c:pt idx="2">
                  <c:v>0</c:v>
                </c:pt>
                <c:pt idx="3">
                  <c:v>0</c:v>
                </c:pt>
                <c:pt idx="4">
                  <c:v>0</c:v>
                </c:pt>
              </c:numCache>
            </c:numRef>
          </c:val>
        </c:ser>
        <c:gapWidth val="0"/>
        <c:axId val="39380980"/>
        <c:axId val="18884501"/>
      </c:barChart>
      <c:catAx>
        <c:axId val="39380980"/>
        <c:scaling>
          <c:orientation val="minMax"/>
        </c:scaling>
        <c:axPos val="l"/>
        <c:title>
          <c:tx>
            <c:rich>
              <a:bodyPr vert="horz" rot="-5400000" anchor="ctr"/>
              <a:lstStyle/>
              <a:p>
                <a:pPr algn="ctr">
                  <a:defRPr/>
                </a:pPr>
                <a:r>
                  <a:rPr lang="en-US" cap="none" sz="850" b="1" i="0" u="none" baseline="0">
                    <a:latin typeface="Arial"/>
                    <a:ea typeface="Arial"/>
                    <a:cs typeface="Arial"/>
                  </a:rPr>
                  <a:t>Distancia enter surcos en cm</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8884501"/>
        <c:crosses val="autoZero"/>
        <c:auto val="1"/>
        <c:lblOffset val="100"/>
        <c:noMultiLvlLbl val="0"/>
      </c:catAx>
      <c:valAx>
        <c:axId val="18884501"/>
        <c:scaling>
          <c:orientation val="minMax"/>
        </c:scaling>
        <c:axPos val="b"/>
        <c:title>
          <c:tx>
            <c:rich>
              <a:bodyPr vert="horz" rot="0" anchor="ctr"/>
              <a:lstStyle/>
              <a:p>
                <a:pPr algn="ctr">
                  <a:defRPr/>
                </a:pPr>
                <a:r>
                  <a:rPr lang="en-US" cap="none" sz="1100" b="1" i="0" u="none" baseline="0">
                    <a:latin typeface="Arial"/>
                    <a:ea typeface="Arial"/>
                    <a:cs typeface="Arial"/>
                  </a:rPr>
                  <a:t>Rendimiento por parcela en kg.</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938098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Efecto Cuártico</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Ejemplos!$A$937:$A$941</c:f>
              <c:numCache>
                <c:ptCount val="5"/>
                <c:pt idx="0">
                  <c:v>0</c:v>
                </c:pt>
                <c:pt idx="1">
                  <c:v>0</c:v>
                </c:pt>
                <c:pt idx="2">
                  <c:v>0</c:v>
                </c:pt>
                <c:pt idx="3">
                  <c:v>0</c:v>
                </c:pt>
                <c:pt idx="4">
                  <c:v>0</c:v>
                </c:pt>
              </c:numCache>
            </c:numRef>
          </c:cat>
          <c:val>
            <c:numRef>
              <c:f>Ejemplos!$G$937:$G$941</c:f>
              <c:numCache>
                <c:ptCount val="5"/>
                <c:pt idx="0">
                  <c:v>0</c:v>
                </c:pt>
                <c:pt idx="1">
                  <c:v>0</c:v>
                </c:pt>
                <c:pt idx="2">
                  <c:v>0</c:v>
                </c:pt>
                <c:pt idx="3">
                  <c:v>0</c:v>
                </c:pt>
                <c:pt idx="4">
                  <c:v>0</c:v>
                </c:pt>
              </c:numCache>
            </c:numRef>
          </c:val>
        </c:ser>
        <c:gapWidth val="0"/>
        <c:axId val="35742782"/>
        <c:axId val="53249583"/>
      </c:barChart>
      <c:catAx>
        <c:axId val="35742782"/>
        <c:scaling>
          <c:orientation val="minMax"/>
        </c:scaling>
        <c:axPos val="l"/>
        <c:title>
          <c:tx>
            <c:rich>
              <a:bodyPr vert="horz" rot="-5400000" anchor="ctr"/>
              <a:lstStyle/>
              <a:p>
                <a:pPr algn="ctr">
                  <a:defRPr/>
                </a:pPr>
                <a:r>
                  <a:rPr lang="en-US" cap="none" sz="1200" b="1" i="0" u="none" baseline="0">
                    <a:latin typeface="Arial"/>
                    <a:ea typeface="Arial"/>
                    <a:cs typeface="Arial"/>
                  </a:rPr>
                  <a:t>Distancia enter surcos en cm.</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3249583"/>
        <c:crosses val="autoZero"/>
        <c:auto val="1"/>
        <c:lblOffset val="100"/>
        <c:noMultiLvlLbl val="0"/>
      </c:catAx>
      <c:valAx>
        <c:axId val="53249583"/>
        <c:scaling>
          <c:orientation val="minMax"/>
        </c:scaling>
        <c:axPos val="b"/>
        <c:title>
          <c:tx>
            <c:rich>
              <a:bodyPr vert="horz" rot="0" anchor="ctr"/>
              <a:lstStyle/>
              <a:p>
                <a:pPr algn="ctr">
                  <a:defRPr/>
                </a:pPr>
                <a:r>
                  <a:rPr lang="en-US" cap="none" sz="1000" b="1" i="0" u="none" baseline="0">
                    <a:latin typeface="Arial"/>
                    <a:ea typeface="Arial"/>
                    <a:cs typeface="Arial"/>
                  </a:rPr>
                  <a:t>Rendimiento en kg. por hectárea.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574278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Promedios significativos en TM / Ha </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Ejemplos!$A$1105:$A$1109</c:f>
              <c:numCache>
                <c:ptCount val="5"/>
                <c:pt idx="0">
                  <c:v>0</c:v>
                </c:pt>
                <c:pt idx="1">
                  <c:v>0</c:v>
                </c:pt>
                <c:pt idx="2">
                  <c:v>0</c:v>
                </c:pt>
                <c:pt idx="3">
                  <c:v>0</c:v>
                </c:pt>
                <c:pt idx="4">
                  <c:v>0</c:v>
                </c:pt>
              </c:numCache>
            </c:numRef>
          </c:cat>
          <c:val>
            <c:numRef>
              <c:f>Ejemplos!$F$1105:$F$1109</c:f>
              <c:numCache>
                <c:ptCount val="5"/>
                <c:pt idx="0">
                  <c:v>0</c:v>
                </c:pt>
                <c:pt idx="1">
                  <c:v>0</c:v>
                </c:pt>
                <c:pt idx="2">
                  <c:v>0</c:v>
                </c:pt>
                <c:pt idx="3">
                  <c:v>0</c:v>
                </c:pt>
                <c:pt idx="4">
                  <c:v>0</c:v>
                </c:pt>
              </c:numCache>
            </c:numRef>
          </c:val>
        </c:ser>
        <c:gapWidth val="0"/>
        <c:axId val="9484200"/>
        <c:axId val="18248937"/>
      </c:barChart>
      <c:catAx>
        <c:axId val="9484200"/>
        <c:scaling>
          <c:orientation val="minMax"/>
        </c:scaling>
        <c:axPos val="l"/>
        <c:title>
          <c:tx>
            <c:rich>
              <a:bodyPr vert="horz" rot="-5400000" anchor="ctr"/>
              <a:lstStyle/>
              <a:p>
                <a:pPr algn="ctr">
                  <a:defRPr/>
                </a:pPr>
                <a:r>
                  <a:rPr lang="en-US" cap="none" sz="1000" b="1" i="0" u="none" baseline="0">
                    <a:latin typeface="Arial"/>
                    <a:ea typeface="Arial"/>
                    <a:cs typeface="Arial"/>
                  </a:rPr>
                  <a:t>Distancia enter surcos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8248937"/>
        <c:crosses val="autoZero"/>
        <c:auto val="1"/>
        <c:lblOffset val="100"/>
        <c:noMultiLvlLbl val="0"/>
      </c:catAx>
      <c:valAx>
        <c:axId val="18248937"/>
        <c:scaling>
          <c:orientation val="minMax"/>
        </c:scaling>
        <c:axPos val="b"/>
        <c:title>
          <c:tx>
            <c:rich>
              <a:bodyPr vert="horz" rot="0" anchor="ctr"/>
              <a:lstStyle/>
              <a:p>
                <a:pPr algn="ctr">
                  <a:defRPr/>
                </a:pPr>
                <a:r>
                  <a:rPr lang="en-US" cap="none" sz="1000" b="1" i="0" u="none" baseline="0">
                    <a:latin typeface="Arial"/>
                    <a:ea typeface="Arial"/>
                    <a:cs typeface="Arial"/>
                  </a:rPr>
                  <a:t>Toneladas por Hectárea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948420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45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Comparación de Tendencias de Crecimiento</a:t>
            </a:r>
          </a:p>
        </c:rich>
      </c:tx>
      <c:layout/>
      <c:spPr>
        <a:noFill/>
        <a:ln>
          <a:noFill/>
        </a:ln>
      </c:spPr>
    </c:title>
    <c:plotArea>
      <c:layout/>
      <c:lineChart>
        <c:grouping val="standard"/>
        <c:varyColors val="0"/>
        <c:ser>
          <c:idx val="0"/>
          <c:order val="0"/>
          <c:tx>
            <c:strRef>
              <c:f>Ejemplos!$B$1230</c:f>
              <c:strCache>
                <c:ptCount val="1"/>
                <c:pt idx="0">
                  <c:v>I. Vivienda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Ejemplos!$D$1231:$D$1265</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cat>
          <c:val>
            <c:numRef>
              <c:f>Ejemplos!$B$1231:$B$1265</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ser>
        <c:ser>
          <c:idx val="1"/>
          <c:order val="1"/>
          <c:tx>
            <c:strRef>
              <c:f>Ejemplos!$C$1230</c:f>
              <c:strCache>
                <c:ptCount val="1"/>
                <c:pt idx="0">
                  <c:v>G. Público</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Ejemplos!$D$1231:$D$1265</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cat>
          <c:val>
            <c:numRef>
              <c:f>Ejemplos!$C$1231:$C$1265</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ser>
        <c:axId val="30022706"/>
        <c:axId val="1768899"/>
      </c:lineChart>
      <c:catAx>
        <c:axId val="30022706"/>
        <c:scaling>
          <c:orientation val="minMax"/>
        </c:scaling>
        <c:axPos val="b"/>
        <c:title>
          <c:tx>
            <c:rich>
              <a:bodyPr vert="horz" rot="0" anchor="ctr"/>
              <a:lstStyle/>
              <a:p>
                <a:pPr algn="ctr">
                  <a:defRPr/>
                </a:pPr>
                <a:r>
                  <a:rPr lang="en-US" cap="none" sz="800" b="1" i="0" u="none" baseline="0">
                    <a:latin typeface="Arial"/>
                    <a:ea typeface="Arial"/>
                    <a:cs typeface="Arial"/>
                  </a:rPr>
                  <a:t>Años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68899"/>
        <c:crosses val="autoZero"/>
        <c:auto val="1"/>
        <c:lblOffset val="100"/>
        <c:noMultiLvlLbl val="0"/>
      </c:catAx>
      <c:valAx>
        <c:axId val="1768899"/>
        <c:scaling>
          <c:orientation val="minMax"/>
        </c:scaling>
        <c:axPos val="l"/>
        <c:title>
          <c:tx>
            <c:rich>
              <a:bodyPr vert="horz" rot="-5400000" anchor="ctr"/>
              <a:lstStyle/>
              <a:p>
                <a:pPr algn="ctr">
                  <a:defRPr/>
                </a:pPr>
                <a:r>
                  <a:rPr lang="en-US" cap="none" sz="800" b="1" i="0" u="none" baseline="0">
                    <a:latin typeface="Arial"/>
                    <a:ea typeface="Arial"/>
                    <a:cs typeface="Arial"/>
                  </a:rPr>
                  <a:t>Valores Estándar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022706"/>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Indices y Tendencias</a:t>
            </a:r>
          </a:p>
        </c:rich>
      </c:tx>
      <c:layout/>
      <c:spPr>
        <a:noFill/>
        <a:ln>
          <a:noFill/>
        </a:ln>
      </c:spPr>
    </c:title>
    <c:plotArea>
      <c:layout/>
      <c:barChart>
        <c:barDir val="col"/>
        <c:grouping val="clustered"/>
        <c:varyColors val="0"/>
        <c:ser>
          <c:idx val="1"/>
          <c:order val="0"/>
          <c:tx>
            <c:strRef>
              <c:f>Ejemplos!$B$1308</c:f>
              <c:strCache>
                <c:ptCount val="1"/>
                <c:pt idx="0">
                  <c:v>I. Vivienda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Ejemplos!$F$1309:$F$1322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Ejemplos!$B$1309:$B$1322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0"/>
          <c:order val="1"/>
          <c:tx>
            <c:strRef>
              <c:f>Ejemplos!$C$1308</c:f>
              <c:strCache>
                <c:ptCount val="1"/>
                <c:pt idx="0">
                  <c:v>G. Público</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Ejemplos!$F$1309:$F$1322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Ejemplos!$C$1309:$C$1322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5920092"/>
        <c:axId val="9063101"/>
      </c:barChart>
      <c:lineChart>
        <c:grouping val="standard"/>
        <c:varyColors val="0"/>
        <c:ser>
          <c:idx val="2"/>
          <c:order val="2"/>
          <c:tx>
            <c:strRef>
              <c:f>Ejemplos!$D$1308</c:f>
              <c:strCache>
                <c:ptCount val="1"/>
                <c:pt idx="0">
                  <c:v>E.I. Vivienda</c:v>
                </c:pt>
              </c:strCache>
            </c:strRef>
          </c:tx>
          <c:extLst>
            <c:ext xmlns:c14="http://schemas.microsoft.com/office/drawing/2007/8/2/chart" uri="{6F2FDCE9-48DA-4B69-8628-5D25D57E5C99}">
              <c14:invertSolidFillFmt>
                <c14:spPr>
                  <a:solidFill>
                    <a:srgbClr val="000000"/>
                  </a:solidFill>
                </c14:spPr>
              </c14:invertSolidFillFmt>
            </c:ext>
          </c:extLst>
          <c:val>
            <c:numRef>
              <c:f>Ejemplos!$D$1309:$D$1322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Ejemplos!$E$1308</c:f>
              <c:strCache>
                <c:ptCount val="1"/>
                <c:pt idx="0">
                  <c:v>E.G. Público</c:v>
                </c:pt>
              </c:strCache>
            </c:strRef>
          </c:tx>
          <c:extLst>
            <c:ext xmlns:c14="http://schemas.microsoft.com/office/drawing/2007/8/2/chart" uri="{6F2FDCE9-48DA-4B69-8628-5D25D57E5C99}">
              <c14:invertSolidFillFmt>
                <c14:spPr>
                  <a:solidFill>
                    <a:srgbClr val="000000"/>
                  </a:solidFill>
                </c14:spPr>
              </c14:invertSolidFillFmt>
            </c:ext>
          </c:extLst>
          <c:val>
            <c:numRef>
              <c:f>Ejemplos!$E$1309:$E$1322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14459046"/>
        <c:axId val="63022551"/>
      </c:lineChart>
      <c:catAx>
        <c:axId val="15920092"/>
        <c:scaling>
          <c:orientation val="minMax"/>
        </c:scaling>
        <c:axPos val="b"/>
        <c:title>
          <c:tx>
            <c:rich>
              <a:bodyPr vert="horz" rot="0" anchor="ctr"/>
              <a:lstStyle/>
              <a:p>
                <a:pPr algn="ctr">
                  <a:defRPr/>
                </a:pPr>
                <a:r>
                  <a:rPr lang="en-US" cap="none" sz="1000" b="1" i="0" u="none" baseline="0">
                    <a:latin typeface="Arial"/>
                    <a:ea typeface="Arial"/>
                    <a:cs typeface="Arial"/>
                  </a:rPr>
                  <a:t>Años</a:t>
                </a:r>
              </a:p>
            </c:rich>
          </c:tx>
          <c:layout/>
          <c:overlay val="0"/>
          <c:spPr>
            <a:noFill/>
            <a:ln>
              <a:noFill/>
            </a:ln>
          </c:spPr>
        </c:title>
        <c:delete val="0"/>
        <c:numFmt formatCode="General" sourceLinked="1"/>
        <c:majorTickMark val="in"/>
        <c:minorTickMark val="none"/>
        <c:tickLblPos val="nextTo"/>
        <c:crossAx val="9063101"/>
        <c:crosses val="autoZero"/>
        <c:auto val="0"/>
        <c:lblOffset val="100"/>
        <c:noMultiLvlLbl val="0"/>
      </c:catAx>
      <c:valAx>
        <c:axId val="9063101"/>
        <c:scaling>
          <c:orientation val="minMax"/>
        </c:scaling>
        <c:axPos val="l"/>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15920092"/>
        <c:crossesAt val="1"/>
        <c:crossBetween val="between"/>
        <c:dispUnits/>
      </c:valAx>
      <c:catAx>
        <c:axId val="14459046"/>
        <c:scaling>
          <c:orientation val="minMax"/>
        </c:scaling>
        <c:axPos val="b"/>
        <c:delete val="1"/>
        <c:majorTickMark val="in"/>
        <c:minorTickMark val="none"/>
        <c:tickLblPos val="nextTo"/>
        <c:crossAx val="63022551"/>
        <c:crosses val="autoZero"/>
        <c:auto val="0"/>
        <c:lblOffset val="100"/>
        <c:noMultiLvlLbl val="0"/>
      </c:catAx>
      <c:valAx>
        <c:axId val="63022551"/>
        <c:scaling>
          <c:orientation val="minMax"/>
        </c:scaling>
        <c:axPos val="l"/>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14459046"/>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Línea de Regresión</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Ejemplos!$B$227:$B$311</c:f>
              <c:numCach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xVal>
          <c:yVal>
            <c:numRef>
              <c:f>Ejemplos!$C$227:$C$311</c:f>
              <c:numCach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Ejemplos!$B$227:$B$311</c:f>
              <c:numCach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xVal>
          <c:yVal>
            <c:numRef>
              <c:f>Ejemplos!$D$227:$D$311</c:f>
              <c:numCach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yVal>
          <c:smooth val="0"/>
        </c:ser>
        <c:axId val="3263728"/>
        <c:axId val="29373553"/>
      </c:scatterChart>
      <c:valAx>
        <c:axId val="3263728"/>
        <c:scaling>
          <c:orientation val="minMax"/>
          <c:min val="1.45"/>
        </c:scaling>
        <c:axPos val="b"/>
        <c:title>
          <c:tx>
            <c:rich>
              <a:bodyPr vert="horz" rot="0" anchor="ctr"/>
              <a:lstStyle/>
              <a:p>
                <a:pPr algn="ctr">
                  <a:defRPr/>
                </a:pPr>
                <a:r>
                  <a:rPr lang="en-US" cap="none" sz="1150" b="1" i="0" u="none" baseline="0">
                    <a:latin typeface="Arial"/>
                    <a:ea typeface="Arial"/>
                    <a:cs typeface="Arial"/>
                  </a:rPr>
                  <a:t>Estatura de los padres en m</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9373553"/>
        <c:crosses val="autoZero"/>
        <c:crossBetween val="midCat"/>
        <c:dispUnits/>
      </c:valAx>
      <c:valAx>
        <c:axId val="29373553"/>
        <c:scaling>
          <c:orientation val="minMax"/>
          <c:min val="1.45"/>
        </c:scaling>
        <c:axPos val="l"/>
        <c:title>
          <c:tx>
            <c:rich>
              <a:bodyPr vert="horz" rot="-5400000" anchor="ctr"/>
              <a:lstStyle/>
              <a:p>
                <a:pPr algn="ctr">
                  <a:defRPr/>
                </a:pPr>
                <a:r>
                  <a:rPr lang="en-US" cap="none" sz="1150" b="1" i="0" u="none" baseline="0">
                    <a:latin typeface="Arial"/>
                    <a:ea typeface="Arial"/>
                    <a:cs typeface="Arial"/>
                  </a:rPr>
                  <a:t>Estatura de los hijos en 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263728"/>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Bandas de Confianza</a:t>
            </a:r>
          </a:p>
        </c:rich>
      </c:tx>
      <c:layout/>
      <c:spPr>
        <a:noFill/>
        <a:ln>
          <a:noFill/>
        </a:ln>
      </c:spPr>
    </c:title>
    <c:plotArea>
      <c:layout/>
      <c:lineChart>
        <c:grouping val="standard"/>
        <c:varyColors val="0"/>
        <c:ser>
          <c:idx val="0"/>
          <c:order val="0"/>
          <c:tx>
            <c:strRef>
              <c:f>Ejemplos!$C$555</c:f>
              <c:strCache>
                <c:ptCount val="1"/>
                <c:pt idx="0">
                  <c:v>O. Inferior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Ejemplos!$B$556:$B$567</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Ejemplos!$C$556:$C$567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Ejemplos!$D$555</c:f>
              <c:strCache>
                <c:ptCount val="1"/>
                <c:pt idx="0">
                  <c:v>P. Inferior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Ejemplos!$B$556:$B$567</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Ejemplos!$D$556:$D$567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Ejemplos!$E$555</c:f>
              <c:strCache>
                <c:ptCount val="1"/>
                <c:pt idx="0">
                  <c:v>Y Estimado</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Ejemplos!$B$556:$B$567</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Ejemplos!$E$556:$E$567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Ejemplos!$F$555</c:f>
              <c:strCache>
                <c:ptCount val="1"/>
                <c:pt idx="0">
                  <c:v>P. Superior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Ejemplos!$B$556:$B$567</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Ejemplos!$F$556:$F$567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4"/>
          <c:tx>
            <c:strRef>
              <c:f>Ejemplos!$G$555</c:f>
              <c:strCache>
                <c:ptCount val="1"/>
                <c:pt idx="0">
                  <c:v>O. Superior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Ejemplos!$B$556:$B$567</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Ejemplos!$G$556:$G$567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3035386"/>
        <c:axId val="30447563"/>
      </c:lineChart>
      <c:catAx>
        <c:axId val="63035386"/>
        <c:scaling>
          <c:orientation val="minMax"/>
        </c:scaling>
        <c:axPos val="b"/>
        <c:title>
          <c:tx>
            <c:rich>
              <a:bodyPr vert="horz" rot="0" anchor="ctr"/>
              <a:lstStyle/>
              <a:p>
                <a:pPr algn="ctr">
                  <a:defRPr/>
                </a:pPr>
                <a:r>
                  <a:rPr lang="en-US" cap="none" sz="825" b="1" i="0" u="none" baseline="0">
                    <a:latin typeface="Arial"/>
                    <a:ea typeface="Arial"/>
                    <a:cs typeface="Arial"/>
                  </a:rPr>
                  <a:t>Estatura de los padres en m</a:t>
                </a:r>
              </a:p>
            </c:rich>
          </c:tx>
          <c:layout/>
          <c:overlay val="0"/>
          <c:spPr>
            <a:noFill/>
            <a:ln>
              <a:noFill/>
            </a:ln>
          </c:spPr>
        </c:title>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30447563"/>
        <c:crosses val="autoZero"/>
        <c:auto val="1"/>
        <c:lblOffset val="100"/>
        <c:noMultiLvlLbl val="0"/>
      </c:catAx>
      <c:valAx>
        <c:axId val="30447563"/>
        <c:scaling>
          <c:orientation val="minMax"/>
          <c:max val="1.9"/>
          <c:min val="1.5"/>
        </c:scaling>
        <c:axPos val="l"/>
        <c:title>
          <c:tx>
            <c:rich>
              <a:bodyPr vert="horz" rot="-5400000" anchor="ctr"/>
              <a:lstStyle/>
              <a:p>
                <a:pPr algn="ctr">
                  <a:defRPr/>
                </a:pPr>
                <a:r>
                  <a:rPr lang="en-US" cap="none" sz="825" b="1" i="0" u="none" baseline="0">
                    <a:latin typeface="Arial"/>
                    <a:ea typeface="Arial"/>
                    <a:cs typeface="Arial"/>
                  </a:rPr>
                  <a:t>Estatura de los hijos en m</a:t>
                </a:r>
              </a:p>
            </c:rich>
          </c:tx>
          <c:layout/>
          <c:overlay val="0"/>
          <c:spPr>
            <a:noFill/>
            <a:ln>
              <a:noFill/>
            </a:ln>
          </c:spPr>
        </c:title>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63035386"/>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Promedios Significativos</a:t>
            </a:r>
          </a:p>
        </c:rich>
      </c:tx>
      <c:layout/>
      <c:spPr>
        <a:noFill/>
        <a:ln>
          <a:noFill/>
        </a:ln>
      </c:spPr>
    </c:title>
    <c:view3D>
      <c:rotX val="15"/>
      <c:rotY val="20"/>
      <c:depthPercent val="100"/>
      <c:rAngAx val="1"/>
    </c:view3D>
    <c:plotArea>
      <c:layout>
        <c:manualLayout>
          <c:xMode val="edge"/>
          <c:yMode val="edge"/>
          <c:x val="0"/>
          <c:y val="0.23325"/>
          <c:w val="0.947"/>
          <c:h val="0.76675"/>
        </c:manualLayout>
      </c:layout>
      <c:bar3D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Ejemplos!$A$969:$A$973</c:f>
              <c:numCache>
                <c:ptCount val="5"/>
                <c:pt idx="0">
                  <c:v>0</c:v>
                </c:pt>
                <c:pt idx="1">
                  <c:v>0</c:v>
                </c:pt>
                <c:pt idx="2">
                  <c:v>0</c:v>
                </c:pt>
                <c:pt idx="3">
                  <c:v>0</c:v>
                </c:pt>
                <c:pt idx="4">
                  <c:v>0</c:v>
                </c:pt>
              </c:numCache>
            </c:numRef>
          </c:cat>
          <c:val>
            <c:numRef>
              <c:f>Ejemplos!$F$969:$F$973</c:f>
              <c:numCache>
                <c:ptCount val="5"/>
                <c:pt idx="0">
                  <c:v>0</c:v>
                </c:pt>
                <c:pt idx="1">
                  <c:v>0</c:v>
                </c:pt>
                <c:pt idx="2">
                  <c:v>0</c:v>
                </c:pt>
                <c:pt idx="3">
                  <c:v>0</c:v>
                </c:pt>
                <c:pt idx="4">
                  <c:v>0</c:v>
                </c:pt>
              </c:numCache>
            </c:numRef>
          </c:val>
          <c:shape val="box"/>
        </c:ser>
        <c:shape val="box"/>
        <c:axId val="5592612"/>
        <c:axId val="50333509"/>
      </c:bar3DChart>
      <c:catAx>
        <c:axId val="5592612"/>
        <c:scaling>
          <c:orientation val="minMax"/>
        </c:scaling>
        <c:axPos val="l"/>
        <c:title>
          <c:tx>
            <c:rich>
              <a:bodyPr vert="horz" rot="-5400000" anchor="ctr"/>
              <a:lstStyle/>
              <a:p>
                <a:pPr algn="ctr">
                  <a:defRPr/>
                </a:pPr>
                <a:r>
                  <a:rPr lang="en-US" cap="none" sz="800" b="1" i="0" u="none" baseline="0">
                    <a:latin typeface="Arial"/>
                    <a:ea typeface="Arial"/>
                    <a:cs typeface="Arial"/>
                  </a:rPr>
                  <a:t>Distancia entre surcos</a:t>
                </a:r>
              </a:p>
            </c:rich>
          </c:tx>
          <c:layout/>
          <c:overlay val="0"/>
          <c:spPr>
            <a:noFill/>
            <a:ln>
              <a:noFill/>
            </a:ln>
          </c:spPr>
        </c:title>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50333509"/>
        <c:crosses val="autoZero"/>
        <c:auto val="1"/>
        <c:lblOffset val="100"/>
        <c:noMultiLvlLbl val="0"/>
      </c:catAx>
      <c:valAx>
        <c:axId val="50333509"/>
        <c:scaling>
          <c:orientation val="minMax"/>
        </c:scaling>
        <c:axPos val="b"/>
        <c:title>
          <c:tx>
            <c:rich>
              <a:bodyPr vert="horz" rot="0" anchor="ctr"/>
              <a:lstStyle/>
              <a:p>
                <a:pPr algn="ctr">
                  <a:defRPr/>
                </a:pPr>
                <a:r>
                  <a:rPr lang="en-US" cap="none" sz="800" b="1" i="0" u="none" baseline="0">
                    <a:latin typeface="Arial"/>
                    <a:ea typeface="Arial"/>
                    <a:cs typeface="Arial"/>
                  </a:rPr>
                  <a:t>Peso del Tomatillo kilos por Parcela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592612"/>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Promedios Significativos </a:t>
            </a:r>
          </a:p>
        </c:rich>
      </c:tx>
      <c:layout>
        <c:manualLayout>
          <c:xMode val="factor"/>
          <c:yMode val="factor"/>
          <c:x val="0"/>
          <c:y val="0.00725"/>
        </c:manualLayout>
      </c:layout>
      <c:spPr>
        <a:noFill/>
        <a:ln>
          <a:noFill/>
        </a:ln>
      </c:spPr>
    </c:title>
    <c:view3D>
      <c:rotX val="15"/>
      <c:rotY val="20"/>
      <c:depthPercent val="100"/>
      <c:rAngAx val="1"/>
    </c:view3D>
    <c:plotArea>
      <c:layout>
        <c:manualLayout>
          <c:xMode val="edge"/>
          <c:yMode val="edge"/>
          <c:x val="0.0505"/>
          <c:y val="0.15375"/>
          <c:w val="0.947"/>
          <c:h val="0.79275"/>
        </c:manualLayout>
      </c:layout>
      <c:bar3D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Ejemplos!$A$969:$A$973</c:f>
              <c:numCache>
                <c:ptCount val="5"/>
                <c:pt idx="0">
                  <c:v>0</c:v>
                </c:pt>
                <c:pt idx="1">
                  <c:v>0</c:v>
                </c:pt>
                <c:pt idx="2">
                  <c:v>0</c:v>
                </c:pt>
                <c:pt idx="3">
                  <c:v>0</c:v>
                </c:pt>
                <c:pt idx="4">
                  <c:v>0</c:v>
                </c:pt>
              </c:numCache>
            </c:numRef>
          </c:cat>
          <c:val>
            <c:numRef>
              <c:f>Ejemplos!$G$969:$G$973</c:f>
              <c:numCache>
                <c:ptCount val="5"/>
                <c:pt idx="0">
                  <c:v>0</c:v>
                </c:pt>
                <c:pt idx="1">
                  <c:v>0</c:v>
                </c:pt>
                <c:pt idx="2">
                  <c:v>0</c:v>
                </c:pt>
                <c:pt idx="3">
                  <c:v>0</c:v>
                </c:pt>
                <c:pt idx="4">
                  <c:v>0</c:v>
                </c:pt>
              </c:numCache>
            </c:numRef>
          </c:val>
          <c:shape val="box"/>
        </c:ser>
        <c:shape val="box"/>
        <c:axId val="50348398"/>
        <c:axId val="50482399"/>
      </c:bar3DChart>
      <c:catAx>
        <c:axId val="50348398"/>
        <c:scaling>
          <c:orientation val="minMax"/>
        </c:scaling>
        <c:axPos val="l"/>
        <c:title>
          <c:tx>
            <c:rich>
              <a:bodyPr vert="horz" rot="-5400000" anchor="ctr"/>
              <a:lstStyle/>
              <a:p>
                <a:pPr algn="ctr">
                  <a:defRPr/>
                </a:pPr>
                <a:r>
                  <a:rPr lang="en-US" cap="none" sz="900" b="1" i="0" u="none" baseline="0">
                    <a:latin typeface="Arial"/>
                    <a:ea typeface="Arial"/>
                    <a:cs typeface="Arial"/>
                  </a:rPr>
                  <a:t>Distancia entre surcos</a:t>
                </a:r>
              </a:p>
            </c:rich>
          </c:tx>
          <c:layout/>
          <c:overlay val="0"/>
          <c:spPr>
            <a:noFill/>
            <a:ln>
              <a:noFill/>
            </a:ln>
          </c:spPr>
        </c:title>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50482399"/>
        <c:crosses val="autoZero"/>
        <c:auto val="1"/>
        <c:lblOffset val="100"/>
        <c:noMultiLvlLbl val="0"/>
      </c:catAx>
      <c:valAx>
        <c:axId val="50482399"/>
        <c:scaling>
          <c:orientation val="minMax"/>
        </c:scaling>
        <c:axPos val="b"/>
        <c:title>
          <c:tx>
            <c:rich>
              <a:bodyPr vert="horz" rot="0" anchor="ctr"/>
              <a:lstStyle/>
              <a:p>
                <a:pPr algn="ctr">
                  <a:defRPr/>
                </a:pPr>
                <a:r>
                  <a:rPr lang="en-US" cap="none" sz="825" b="1" i="0" u="none" baseline="0">
                    <a:latin typeface="Arial"/>
                    <a:ea typeface="Arial"/>
                    <a:cs typeface="Arial"/>
                  </a:rPr>
                  <a:t>Peso del Tomatillo kilos por Hectárea</a:t>
                </a:r>
              </a:p>
            </c:rich>
          </c:tx>
          <c:layout>
            <c:manualLayout>
              <c:xMode val="factor"/>
              <c:yMode val="factor"/>
              <c:x val="0.019"/>
              <c:y val="-0.01075"/>
            </c:manualLayout>
          </c:layout>
          <c:overlay val="0"/>
          <c:spPr>
            <a:noFill/>
            <a:ln>
              <a:noFill/>
            </a:ln>
          </c:spPr>
        </c:title>
        <c:majorGridlines/>
        <c:delete val="0"/>
        <c:numFmt formatCode="#,##0" sourceLinked="0"/>
        <c:majorTickMark val="out"/>
        <c:minorTickMark val="none"/>
        <c:tickLblPos val="nextTo"/>
        <c:txPr>
          <a:bodyPr/>
          <a:lstStyle/>
          <a:p>
            <a:pPr>
              <a:defRPr lang="en-US" cap="none" sz="825" b="1" i="0" u="none" baseline="0">
                <a:latin typeface="Arial"/>
                <a:ea typeface="Arial"/>
                <a:cs typeface="Arial"/>
              </a:defRPr>
            </a:pPr>
          </a:p>
        </c:txPr>
        <c:crossAx val="50348398"/>
        <c:crossesAt val="1"/>
        <c:crossBetween val="between"/>
        <c:dispUnits/>
      </c:valAx>
      <c:spPr>
        <a:noFill/>
        <a:ln>
          <a:noFill/>
        </a:ln>
      </c:spPr>
    </c:plotArea>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Efecto Lineal</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Ejemplos!$A$843:$A$847</c:f>
              <c:numCache>
                <c:ptCount val="5"/>
                <c:pt idx="0">
                  <c:v>0</c:v>
                </c:pt>
                <c:pt idx="1">
                  <c:v>0</c:v>
                </c:pt>
                <c:pt idx="2">
                  <c:v>0</c:v>
                </c:pt>
                <c:pt idx="3">
                  <c:v>0</c:v>
                </c:pt>
                <c:pt idx="4">
                  <c:v>0</c:v>
                </c:pt>
              </c:numCache>
            </c:numRef>
          </c:cat>
          <c:val>
            <c:numRef>
              <c:f>Ejemplos!$G$843:$G$847</c:f>
              <c:numCache>
                <c:ptCount val="5"/>
                <c:pt idx="0">
                  <c:v>0</c:v>
                </c:pt>
                <c:pt idx="1">
                  <c:v>0</c:v>
                </c:pt>
                <c:pt idx="2">
                  <c:v>0</c:v>
                </c:pt>
                <c:pt idx="3">
                  <c:v>0</c:v>
                </c:pt>
                <c:pt idx="4">
                  <c:v>0</c:v>
                </c:pt>
              </c:numCache>
            </c:numRef>
          </c:val>
        </c:ser>
        <c:gapWidth val="0"/>
        <c:axId val="51688408"/>
        <c:axId val="62542489"/>
      </c:barChart>
      <c:catAx>
        <c:axId val="51688408"/>
        <c:scaling>
          <c:orientation val="minMax"/>
        </c:scaling>
        <c:axPos val="l"/>
        <c:title>
          <c:tx>
            <c:rich>
              <a:bodyPr vert="horz" rot="-5400000" anchor="ctr"/>
              <a:lstStyle/>
              <a:p>
                <a:pPr algn="ctr">
                  <a:defRPr/>
                </a:pPr>
                <a:r>
                  <a:rPr lang="en-US" cap="none" sz="1200" b="1" i="0" u="none" baseline="0">
                    <a:latin typeface="Arial"/>
                    <a:ea typeface="Arial"/>
                    <a:cs typeface="Arial"/>
                  </a:rPr>
                  <a:t>Tratamientos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2542489"/>
        <c:crosses val="autoZero"/>
        <c:auto val="1"/>
        <c:lblOffset val="100"/>
        <c:noMultiLvlLbl val="0"/>
      </c:catAx>
      <c:valAx>
        <c:axId val="62542489"/>
        <c:scaling>
          <c:orientation val="minMax"/>
        </c:scaling>
        <c:axPos val="b"/>
        <c:title>
          <c:tx>
            <c:rich>
              <a:bodyPr vert="horz" rot="0" anchor="ctr"/>
              <a:lstStyle/>
              <a:p>
                <a:pPr algn="ctr">
                  <a:defRPr/>
                </a:pPr>
                <a:r>
                  <a:rPr lang="en-US" cap="none" sz="1125" b="1" i="0" u="none" baseline="0">
                    <a:latin typeface="Arial"/>
                    <a:ea typeface="Arial"/>
                    <a:cs typeface="Arial"/>
                  </a:rPr>
                  <a:t>Kilos por Hectárea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168840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Efecto Lineal</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Ejemplos!$A$843:$A$847</c:f>
              <c:numCache>
                <c:ptCount val="5"/>
                <c:pt idx="0">
                  <c:v>0</c:v>
                </c:pt>
                <c:pt idx="1">
                  <c:v>0</c:v>
                </c:pt>
                <c:pt idx="2">
                  <c:v>0</c:v>
                </c:pt>
                <c:pt idx="3">
                  <c:v>0</c:v>
                </c:pt>
                <c:pt idx="4">
                  <c:v>0</c:v>
                </c:pt>
              </c:numCache>
            </c:numRef>
          </c:cat>
          <c:val>
            <c:numRef>
              <c:f>Ejemplos!$F$843:$F$847</c:f>
              <c:numCache>
                <c:ptCount val="5"/>
                <c:pt idx="0">
                  <c:v>0</c:v>
                </c:pt>
                <c:pt idx="1">
                  <c:v>0</c:v>
                </c:pt>
                <c:pt idx="2">
                  <c:v>0</c:v>
                </c:pt>
                <c:pt idx="3">
                  <c:v>0</c:v>
                </c:pt>
                <c:pt idx="4">
                  <c:v>0</c:v>
                </c:pt>
              </c:numCache>
            </c:numRef>
          </c:val>
        </c:ser>
        <c:gapWidth val="0"/>
        <c:axId val="26011490"/>
        <c:axId val="32776819"/>
      </c:barChart>
      <c:catAx>
        <c:axId val="26011490"/>
        <c:scaling>
          <c:orientation val="minMax"/>
        </c:scaling>
        <c:axPos val="l"/>
        <c:title>
          <c:tx>
            <c:rich>
              <a:bodyPr vert="horz" rot="-5400000" anchor="ctr"/>
              <a:lstStyle/>
              <a:p>
                <a:pPr algn="ctr">
                  <a:defRPr/>
                </a:pPr>
                <a:r>
                  <a:rPr lang="en-US" cap="none" sz="1100" b="1" i="0" u="none" baseline="0">
                    <a:latin typeface="Arial"/>
                    <a:ea typeface="Arial"/>
                    <a:cs typeface="Arial"/>
                  </a:rPr>
                  <a:t>Tratamientos</a:t>
                </a:r>
              </a:p>
            </c:rich>
          </c:tx>
          <c:layout/>
          <c:overlay val="0"/>
          <c:spPr>
            <a:noFill/>
            <a:ln>
              <a:noFill/>
            </a:ln>
          </c:spPr>
        </c:title>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2776819"/>
        <c:crosses val="autoZero"/>
        <c:auto val="1"/>
        <c:lblOffset val="100"/>
        <c:noMultiLvlLbl val="0"/>
      </c:catAx>
      <c:valAx>
        <c:axId val="32776819"/>
        <c:scaling>
          <c:orientation val="minMax"/>
        </c:scaling>
        <c:axPos val="b"/>
        <c:title>
          <c:tx>
            <c:rich>
              <a:bodyPr vert="horz" rot="0" anchor="ctr"/>
              <a:lstStyle/>
              <a:p>
                <a:pPr algn="ctr">
                  <a:defRPr/>
                </a:pPr>
                <a:r>
                  <a:rPr lang="en-US" cap="none" sz="1000" b="1" i="0" u="none" baseline="0">
                    <a:latin typeface="Arial"/>
                    <a:ea typeface="Arial"/>
                    <a:cs typeface="Arial"/>
                  </a:rPr>
                  <a:t>Kilos por parcela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2601149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Efecto Cuadrático</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Ejemplos!$A$875:$A$879</c:f>
              <c:numCache>
                <c:ptCount val="5"/>
                <c:pt idx="0">
                  <c:v>0</c:v>
                </c:pt>
                <c:pt idx="1">
                  <c:v>0</c:v>
                </c:pt>
                <c:pt idx="2">
                  <c:v>0</c:v>
                </c:pt>
                <c:pt idx="3">
                  <c:v>0</c:v>
                </c:pt>
                <c:pt idx="4">
                  <c:v>0</c:v>
                </c:pt>
              </c:numCache>
            </c:numRef>
          </c:cat>
          <c:val>
            <c:numRef>
              <c:f>Ejemplos!$F$875:$F$879</c:f>
              <c:numCache>
                <c:ptCount val="5"/>
                <c:pt idx="0">
                  <c:v>0</c:v>
                </c:pt>
                <c:pt idx="1">
                  <c:v>0</c:v>
                </c:pt>
                <c:pt idx="2">
                  <c:v>0</c:v>
                </c:pt>
                <c:pt idx="3">
                  <c:v>0</c:v>
                </c:pt>
                <c:pt idx="4">
                  <c:v>0</c:v>
                </c:pt>
              </c:numCache>
            </c:numRef>
          </c:val>
        </c:ser>
        <c:gapWidth val="0"/>
        <c:axId val="26555916"/>
        <c:axId val="37676653"/>
      </c:barChart>
      <c:catAx>
        <c:axId val="26555916"/>
        <c:scaling>
          <c:orientation val="minMax"/>
        </c:scaling>
        <c:axPos val="l"/>
        <c:title>
          <c:tx>
            <c:rich>
              <a:bodyPr vert="horz" rot="-5400000" anchor="ctr"/>
              <a:lstStyle/>
              <a:p>
                <a:pPr algn="ctr">
                  <a:defRPr/>
                </a:pPr>
                <a:r>
                  <a:rPr lang="en-US" cap="none" sz="1050" b="1" i="0" u="none" baseline="0">
                    <a:latin typeface="Arial"/>
                    <a:ea typeface="Arial"/>
                    <a:cs typeface="Arial"/>
                  </a:rPr>
                  <a:t>Tratamientos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7676653"/>
        <c:crosses val="autoZero"/>
        <c:auto val="1"/>
        <c:lblOffset val="100"/>
        <c:noMultiLvlLbl val="0"/>
      </c:catAx>
      <c:valAx>
        <c:axId val="37676653"/>
        <c:scaling>
          <c:orientation val="minMax"/>
        </c:scaling>
        <c:axPos val="b"/>
        <c:title>
          <c:tx>
            <c:rich>
              <a:bodyPr vert="horz" rot="0" anchor="ctr"/>
              <a:lstStyle/>
              <a:p>
                <a:pPr algn="ctr">
                  <a:defRPr/>
                </a:pPr>
                <a:r>
                  <a:rPr lang="en-US" cap="none" sz="1050" b="1" i="0" u="none" baseline="0">
                    <a:latin typeface="Arial"/>
                    <a:ea typeface="Arial"/>
                    <a:cs typeface="Arial"/>
                  </a:rPr>
                  <a:t>Kilos por Parcela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655591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Efecto Cuadrático</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Ejemplos!$A$875:$A$879</c:f>
              <c:numCache>
                <c:ptCount val="5"/>
                <c:pt idx="0">
                  <c:v>0</c:v>
                </c:pt>
                <c:pt idx="1">
                  <c:v>0</c:v>
                </c:pt>
                <c:pt idx="2">
                  <c:v>0</c:v>
                </c:pt>
                <c:pt idx="3">
                  <c:v>0</c:v>
                </c:pt>
                <c:pt idx="4">
                  <c:v>0</c:v>
                </c:pt>
              </c:numCache>
            </c:numRef>
          </c:cat>
          <c:val>
            <c:numRef>
              <c:f>Ejemplos!$G$875:$G$879</c:f>
              <c:numCache>
                <c:ptCount val="5"/>
                <c:pt idx="0">
                  <c:v>0</c:v>
                </c:pt>
                <c:pt idx="1">
                  <c:v>0</c:v>
                </c:pt>
                <c:pt idx="2">
                  <c:v>0</c:v>
                </c:pt>
                <c:pt idx="3">
                  <c:v>0</c:v>
                </c:pt>
                <c:pt idx="4">
                  <c:v>0</c:v>
                </c:pt>
              </c:numCache>
            </c:numRef>
          </c:val>
        </c:ser>
        <c:gapWidth val="0"/>
        <c:axId val="3545558"/>
        <c:axId val="31910023"/>
      </c:barChart>
      <c:catAx>
        <c:axId val="3545558"/>
        <c:scaling>
          <c:orientation val="minMax"/>
        </c:scaling>
        <c:axPos val="l"/>
        <c:title>
          <c:tx>
            <c:rich>
              <a:bodyPr vert="horz" rot="-5400000" anchor="ctr"/>
              <a:lstStyle/>
              <a:p>
                <a:pPr algn="ctr">
                  <a:defRPr/>
                </a:pPr>
                <a:r>
                  <a:rPr lang="en-US" cap="none" sz="1050" b="1" i="0" u="none" baseline="0">
                    <a:latin typeface="Arial"/>
                    <a:ea typeface="Arial"/>
                    <a:cs typeface="Arial"/>
                  </a:rPr>
                  <a:t>Tratamientos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1910023"/>
        <c:crosses val="autoZero"/>
        <c:auto val="1"/>
        <c:lblOffset val="100"/>
        <c:noMultiLvlLbl val="0"/>
      </c:catAx>
      <c:valAx>
        <c:axId val="31910023"/>
        <c:scaling>
          <c:orientation val="minMax"/>
        </c:scaling>
        <c:axPos val="b"/>
        <c:title>
          <c:tx>
            <c:rich>
              <a:bodyPr vert="horz" rot="0" anchor="ctr"/>
              <a:lstStyle/>
              <a:p>
                <a:pPr algn="ctr">
                  <a:defRPr/>
                </a:pPr>
                <a:r>
                  <a:rPr lang="en-US" cap="none" sz="1050" b="1" i="0" u="none" baseline="0">
                    <a:latin typeface="Arial"/>
                    <a:ea typeface="Arial"/>
                    <a:cs typeface="Arial"/>
                  </a:rPr>
                  <a:t>Kilos por Hectárea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54555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09" /><Relationship Id="rId2" Type="http://schemas.openxmlformats.org/officeDocument/2006/relationships/hyperlink" Target="#D_11" /><Relationship Id="rId3" Type="http://schemas.openxmlformats.org/officeDocument/2006/relationships/hyperlink" Target="#D_12" /><Relationship Id="rId4" Type="http://schemas.openxmlformats.org/officeDocument/2006/relationships/hyperlink" Target="#D_07" /><Relationship Id="rId5" Type="http://schemas.openxmlformats.org/officeDocument/2006/relationships/hyperlink" Target="#D_13" /><Relationship Id="rId6" Type="http://schemas.openxmlformats.org/officeDocument/2006/relationships/hyperlink" Target="#D_14" /><Relationship Id="rId7" Type="http://schemas.openxmlformats.org/officeDocument/2006/relationships/hyperlink" Target="#D_15" /><Relationship Id="rId8" Type="http://schemas.openxmlformats.org/officeDocument/2006/relationships/hyperlink" Target="#D_16" /><Relationship Id="rId9" Type="http://schemas.openxmlformats.org/officeDocument/2006/relationships/hyperlink" Target="#D_19" /><Relationship Id="rId10" Type="http://schemas.openxmlformats.org/officeDocument/2006/relationships/hyperlink" Target="#D_22" /><Relationship Id="rId11" Type="http://schemas.openxmlformats.org/officeDocument/2006/relationships/hyperlink" Target="#D_23" /><Relationship Id="rId12" Type="http://schemas.openxmlformats.org/officeDocument/2006/relationships/hyperlink" Target="#D_20" /><Relationship Id="rId13" Type="http://schemas.openxmlformats.org/officeDocument/2006/relationships/hyperlink" Target="#D_21" /><Relationship Id="rId14" Type="http://schemas.openxmlformats.org/officeDocument/2006/relationships/hyperlink" Target="#D_24" /><Relationship Id="rId15" Type="http://schemas.openxmlformats.org/officeDocument/2006/relationships/hyperlink" Target="#D_25" /><Relationship Id="rId16" Type="http://schemas.openxmlformats.org/officeDocument/2006/relationships/hyperlink" Target="#D_29" /><Relationship Id="rId17" Type="http://schemas.openxmlformats.org/officeDocument/2006/relationships/hyperlink" Target="#D_30" /><Relationship Id="rId18" Type="http://schemas.openxmlformats.org/officeDocument/2006/relationships/hyperlink" Target="#D_27" /><Relationship Id="rId19" Type="http://schemas.openxmlformats.org/officeDocument/2006/relationships/hyperlink" Target="#D_34" /><Relationship Id="rId20" Type="http://schemas.openxmlformats.org/officeDocument/2006/relationships/hyperlink" Target="#D_35" /><Relationship Id="rId21" Type="http://schemas.openxmlformats.org/officeDocument/2006/relationships/hyperlink" Target="#D_36" /><Relationship Id="rId22" Type="http://schemas.openxmlformats.org/officeDocument/2006/relationships/hyperlink" Target="#D_39" /><Relationship Id="rId23" Type="http://schemas.openxmlformats.org/officeDocument/2006/relationships/hyperlink" Target="#D_43" /><Relationship Id="rId24" Type="http://schemas.openxmlformats.org/officeDocument/2006/relationships/hyperlink" Target="#D_40" /><Relationship Id="rId25" Type="http://schemas.openxmlformats.org/officeDocument/2006/relationships/hyperlink" Target="#D_44" /><Relationship Id="rId26" Type="http://schemas.openxmlformats.org/officeDocument/2006/relationships/hyperlink" Target="#D_45" /><Relationship Id="rId27" Type="http://schemas.openxmlformats.org/officeDocument/2006/relationships/hyperlink" Target="#D_46" /><Relationship Id="rId28" Type="http://schemas.openxmlformats.org/officeDocument/2006/relationships/hyperlink" Target="#D_47" /><Relationship Id="rId29" Type="http://schemas.openxmlformats.org/officeDocument/2006/relationships/hyperlink" Target="#D_48" /><Relationship Id="rId30" Type="http://schemas.openxmlformats.org/officeDocument/2006/relationships/hyperlink" Target="#D_50" /><Relationship Id="rId31" Type="http://schemas.openxmlformats.org/officeDocument/2006/relationships/hyperlink" Target="#D_52" /><Relationship Id="rId32" Type="http://schemas.openxmlformats.org/officeDocument/2006/relationships/hyperlink" Target="#D_49" /><Relationship Id="rId33" Type="http://schemas.openxmlformats.org/officeDocument/2006/relationships/hyperlink" Target="#D_54" /><Relationship Id="rId34" Type="http://schemas.openxmlformats.org/officeDocument/2006/relationships/hyperlink" Target="#D_51" /><Relationship Id="rId35" Type="http://schemas.openxmlformats.org/officeDocument/2006/relationships/hyperlink" Target="#D_55" /><Relationship Id="rId36" Type="http://schemas.openxmlformats.org/officeDocument/2006/relationships/hyperlink" Target="#D_58" /><Relationship Id="rId37" Type="http://schemas.openxmlformats.org/officeDocument/2006/relationships/hyperlink" Target="#D_59" /><Relationship Id="rId38" Type="http://schemas.openxmlformats.org/officeDocument/2006/relationships/hyperlink" Target="#D_60" /><Relationship Id="rId39" Type="http://schemas.openxmlformats.org/officeDocument/2006/relationships/hyperlink" Target="#D_17" /><Relationship Id="rId40" Type="http://schemas.openxmlformats.org/officeDocument/2006/relationships/hyperlink" Target="#D_61" /><Relationship Id="rId41" Type="http://schemas.openxmlformats.org/officeDocument/2006/relationships/hyperlink" Target="#D_62" /><Relationship Id="rId42" Type="http://schemas.openxmlformats.org/officeDocument/2006/relationships/hyperlink" Target="#D_63" /><Relationship Id="rId43" Type="http://schemas.openxmlformats.org/officeDocument/2006/relationships/hyperlink" Target="E10_RLineal_P01.ppt" TargetMode="External" /><Relationship Id="rId44" Type="http://schemas.openxmlformats.org/officeDocument/2006/relationships/image" Target="../media/image69.emf" /><Relationship Id="rId45" Type="http://schemas.openxmlformats.org/officeDocument/2006/relationships/image" Target="../media/image68.png" /><Relationship Id="rId46" Type="http://schemas.openxmlformats.org/officeDocument/2006/relationships/image" Target="../media/image70.emf" /><Relationship Id="rId47" Type="http://schemas.openxmlformats.org/officeDocument/2006/relationships/hyperlink" Target="#G_01" /><Relationship Id="rId48" Type="http://schemas.openxmlformats.org/officeDocument/2006/relationships/hyperlink" Target="#G_01" /><Relationship Id="rId49" Type="http://schemas.openxmlformats.org/officeDocument/2006/relationships/image" Target="../media/image71.emf" /><Relationship Id="rId50" Type="http://schemas.openxmlformats.org/officeDocument/2006/relationships/hyperlink" Target="#G_02" /><Relationship Id="rId51" Type="http://schemas.openxmlformats.org/officeDocument/2006/relationships/hyperlink" Target="#G_02" /><Relationship Id="rId52" Type="http://schemas.openxmlformats.org/officeDocument/2006/relationships/image" Target="../media/image72.emf" /><Relationship Id="rId53" Type="http://schemas.openxmlformats.org/officeDocument/2006/relationships/hyperlink" Target="#G_03" /><Relationship Id="rId54" Type="http://schemas.openxmlformats.org/officeDocument/2006/relationships/hyperlink" Target="#G_03" /><Relationship Id="rId55" Type="http://schemas.openxmlformats.org/officeDocument/2006/relationships/image" Target="../media/image73.emf" /><Relationship Id="rId56" Type="http://schemas.openxmlformats.org/officeDocument/2006/relationships/hyperlink" Target="#G_04" /><Relationship Id="rId57" Type="http://schemas.openxmlformats.org/officeDocument/2006/relationships/hyperlink" Target="#G_04" /><Relationship Id="rId58" Type="http://schemas.openxmlformats.org/officeDocument/2006/relationships/image" Target="../media/image75.emf" /><Relationship Id="rId59" Type="http://schemas.openxmlformats.org/officeDocument/2006/relationships/hyperlink" Target="#T_01" /><Relationship Id="rId60" Type="http://schemas.openxmlformats.org/officeDocument/2006/relationships/hyperlink" Target="#T_01" /><Relationship Id="rId61" Type="http://schemas.openxmlformats.org/officeDocument/2006/relationships/image" Target="../media/image76.emf" /><Relationship Id="rId62" Type="http://schemas.openxmlformats.org/officeDocument/2006/relationships/hyperlink" Target="#T_02" /><Relationship Id="rId63" Type="http://schemas.openxmlformats.org/officeDocument/2006/relationships/hyperlink" Target="#T_02" /><Relationship Id="rId64" Type="http://schemas.openxmlformats.org/officeDocument/2006/relationships/image" Target="../media/image74.emf" /><Relationship Id="rId65" Type="http://schemas.openxmlformats.org/officeDocument/2006/relationships/hyperlink" Target="#T_03" /><Relationship Id="rId66" Type="http://schemas.openxmlformats.org/officeDocument/2006/relationships/hyperlink" Target="#T_03" /><Relationship Id="rId67" Type="http://schemas.openxmlformats.org/officeDocument/2006/relationships/image" Target="../media/image78.jpeg" /><Relationship Id="rId68" Type="http://schemas.openxmlformats.org/officeDocument/2006/relationships/image" Target="../media/image79.jpeg" /><Relationship Id="rId69" Type="http://schemas.openxmlformats.org/officeDocument/2006/relationships/image" Target="../media/image80.jpeg" /><Relationship Id="rId70" Type="http://schemas.openxmlformats.org/officeDocument/2006/relationships/image" Target="../media/image81.jpeg" /><Relationship Id="rId71" Type="http://schemas.openxmlformats.org/officeDocument/2006/relationships/image" Target="../media/image82.jpeg" /><Relationship Id="rId72" Type="http://schemas.openxmlformats.org/officeDocument/2006/relationships/image" Target="../media/image83.jpeg" /><Relationship Id="rId73" Type="http://schemas.openxmlformats.org/officeDocument/2006/relationships/image" Target="../media/image84.jpeg" /><Relationship Id="rId74" Type="http://schemas.openxmlformats.org/officeDocument/2006/relationships/image" Target="../media/image85.jpeg" /><Relationship Id="rId75" Type="http://schemas.openxmlformats.org/officeDocument/2006/relationships/image" Target="../media/image86.jpeg" /><Relationship Id="rId76" Type="http://schemas.openxmlformats.org/officeDocument/2006/relationships/image" Target="../media/image87.jpeg" /><Relationship Id="rId77" Type="http://schemas.openxmlformats.org/officeDocument/2006/relationships/image" Target="../media/image88.jpeg" /><Relationship Id="rId78" Type="http://schemas.openxmlformats.org/officeDocument/2006/relationships/image" Target="../media/image89.jpeg" /><Relationship Id="rId79" Type="http://schemas.openxmlformats.org/officeDocument/2006/relationships/image" Target="../media/image90.jpeg" /><Relationship Id="rId80" Type="http://schemas.openxmlformats.org/officeDocument/2006/relationships/image" Target="../media/image91.jpeg" /><Relationship Id="rId81" Type="http://schemas.openxmlformats.org/officeDocument/2006/relationships/image" Target="../media/image92.jpeg" /><Relationship Id="rId82" Type="http://schemas.openxmlformats.org/officeDocument/2006/relationships/image" Target="../media/image93.jpeg" /><Relationship Id="rId83" Type="http://schemas.openxmlformats.org/officeDocument/2006/relationships/image" Target="../media/image94.jpeg" /><Relationship Id="rId84" Type="http://schemas.openxmlformats.org/officeDocument/2006/relationships/image" Target="../media/image95.jpeg" /><Relationship Id="rId85" Type="http://schemas.openxmlformats.org/officeDocument/2006/relationships/image" Target="../media/image96.jpeg" /><Relationship Id="rId86" Type="http://schemas.openxmlformats.org/officeDocument/2006/relationships/image" Target="../media/image97.jpeg" /><Relationship Id="rId87" Type="http://schemas.openxmlformats.org/officeDocument/2006/relationships/image" Target="../media/image98.jpeg" /><Relationship Id="rId88" Type="http://schemas.openxmlformats.org/officeDocument/2006/relationships/image" Target="../media/image99.jpeg" /><Relationship Id="rId89" Type="http://schemas.openxmlformats.org/officeDocument/2006/relationships/image" Target="../media/image100.jpeg" /><Relationship Id="rId90" Type="http://schemas.openxmlformats.org/officeDocument/2006/relationships/image" Target="../media/image101.jpeg" /><Relationship Id="rId91" Type="http://schemas.openxmlformats.org/officeDocument/2006/relationships/image" Target="../media/image102.jpeg" /><Relationship Id="rId92" Type="http://schemas.openxmlformats.org/officeDocument/2006/relationships/image" Target="../media/image103.jpeg" /><Relationship Id="rId93" Type="http://schemas.openxmlformats.org/officeDocument/2006/relationships/image" Target="../media/image104.jpeg" /><Relationship Id="rId94" Type="http://schemas.openxmlformats.org/officeDocument/2006/relationships/image" Target="../media/image105.jpeg" /><Relationship Id="rId95" Type="http://schemas.openxmlformats.org/officeDocument/2006/relationships/image" Target="../media/image106.jpeg" /><Relationship Id="rId96" Type="http://schemas.openxmlformats.org/officeDocument/2006/relationships/image" Target="../media/image107.jpeg" /><Relationship Id="rId97" Type="http://schemas.openxmlformats.org/officeDocument/2006/relationships/image" Target="../media/image108.jpeg" /><Relationship Id="rId98" Type="http://schemas.openxmlformats.org/officeDocument/2006/relationships/image" Target="../media/image109.jpeg" /><Relationship Id="rId99" Type="http://schemas.openxmlformats.org/officeDocument/2006/relationships/image" Target="../media/image110.jpeg" /><Relationship Id="rId100" Type="http://schemas.openxmlformats.org/officeDocument/2006/relationships/image" Target="../media/image111.jpeg" /><Relationship Id="rId101" Type="http://schemas.openxmlformats.org/officeDocument/2006/relationships/image" Target="../media/image112.jpeg" /><Relationship Id="rId102" Type="http://schemas.openxmlformats.org/officeDocument/2006/relationships/image" Target="../media/image113.jpeg" /><Relationship Id="rId103" Type="http://schemas.openxmlformats.org/officeDocument/2006/relationships/image" Target="../media/image114.jpeg" /><Relationship Id="rId104" Type="http://schemas.openxmlformats.org/officeDocument/2006/relationships/image" Target="../media/image115.jpeg" /><Relationship Id="rId105" Type="http://schemas.openxmlformats.org/officeDocument/2006/relationships/image" Target="../media/image116.jpeg" /><Relationship Id="rId106" Type="http://schemas.openxmlformats.org/officeDocument/2006/relationships/image" Target="../media/image117.jpeg" /><Relationship Id="rId107" Type="http://schemas.openxmlformats.org/officeDocument/2006/relationships/image" Target="../media/image118.jpeg" /><Relationship Id="rId108" Type="http://schemas.openxmlformats.org/officeDocument/2006/relationships/image" Target="../media/image119.jpeg" /><Relationship Id="rId109" Type="http://schemas.openxmlformats.org/officeDocument/2006/relationships/image" Target="../media/image120.jpeg" /><Relationship Id="rId110" Type="http://schemas.openxmlformats.org/officeDocument/2006/relationships/image" Target="../media/image121.jpeg" /><Relationship Id="rId111" Type="http://schemas.openxmlformats.org/officeDocument/2006/relationships/image" Target="../media/image122.jpeg" /><Relationship Id="rId112" Type="http://schemas.openxmlformats.org/officeDocument/2006/relationships/image" Target="../media/image123.jpeg" /><Relationship Id="rId113" Type="http://schemas.openxmlformats.org/officeDocument/2006/relationships/image" Target="../media/image124.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3.emf" /><Relationship Id="rId4" Type="http://schemas.openxmlformats.org/officeDocument/2006/relationships/chart" Target="/xl/charts/chart2.xml"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4.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7.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4.emf" /><Relationship Id="rId15" Type="http://schemas.openxmlformats.org/officeDocument/2006/relationships/image" Target="../media/image13.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 Id="rId21" Type="http://schemas.openxmlformats.org/officeDocument/2006/relationships/image" Target="../media/image20.emf" /><Relationship Id="rId22" Type="http://schemas.openxmlformats.org/officeDocument/2006/relationships/image" Target="../media/image21.emf" /><Relationship Id="rId23" Type="http://schemas.openxmlformats.org/officeDocument/2006/relationships/image" Target="../media/image22.emf" /><Relationship Id="rId24" Type="http://schemas.openxmlformats.org/officeDocument/2006/relationships/image" Target="../media/image23.emf" /><Relationship Id="rId25" Type="http://schemas.openxmlformats.org/officeDocument/2006/relationships/image" Target="../media/image24.emf" /><Relationship Id="rId26" Type="http://schemas.openxmlformats.org/officeDocument/2006/relationships/image" Target="../media/image25.emf" /><Relationship Id="rId27" Type="http://schemas.openxmlformats.org/officeDocument/2006/relationships/image" Target="../media/image26.emf" /><Relationship Id="rId28" Type="http://schemas.openxmlformats.org/officeDocument/2006/relationships/image" Target="../media/image27.emf" /><Relationship Id="rId29" Type="http://schemas.openxmlformats.org/officeDocument/2006/relationships/image" Target="../media/image28.emf" /><Relationship Id="rId30" Type="http://schemas.openxmlformats.org/officeDocument/2006/relationships/image" Target="../media/image33.emf" /><Relationship Id="rId31" Type="http://schemas.openxmlformats.org/officeDocument/2006/relationships/chart" Target="/xl/charts/chart3.xml" /><Relationship Id="rId32" Type="http://schemas.openxmlformats.org/officeDocument/2006/relationships/image" Target="../media/image37.png" /><Relationship Id="rId33" Type="http://schemas.openxmlformats.org/officeDocument/2006/relationships/image" Target="../media/image39.emf" /><Relationship Id="rId34" Type="http://schemas.openxmlformats.org/officeDocument/2006/relationships/image" Target="../media/image40.emf" /><Relationship Id="rId35" Type="http://schemas.openxmlformats.org/officeDocument/2006/relationships/chart" Target="/xl/charts/chart4.xml" /><Relationship Id="rId36" Type="http://schemas.openxmlformats.org/officeDocument/2006/relationships/image" Target="../media/image50.emf" /><Relationship Id="rId37" Type="http://schemas.openxmlformats.org/officeDocument/2006/relationships/image" Target="../media/image44.emf" /><Relationship Id="rId38" Type="http://schemas.openxmlformats.org/officeDocument/2006/relationships/chart" Target="/xl/charts/chart5.xml" /><Relationship Id="rId39" Type="http://schemas.openxmlformats.org/officeDocument/2006/relationships/image" Target="../media/image49.png" /><Relationship Id="rId40" Type="http://schemas.openxmlformats.org/officeDocument/2006/relationships/chart" Target="/xl/charts/chart6.xml" /><Relationship Id="rId41" Type="http://schemas.openxmlformats.org/officeDocument/2006/relationships/chart" Target="/xl/charts/chart7.xml" /><Relationship Id="rId42" Type="http://schemas.openxmlformats.org/officeDocument/2006/relationships/chart" Target="/xl/charts/chart8.xml" /><Relationship Id="rId43" Type="http://schemas.openxmlformats.org/officeDocument/2006/relationships/chart" Target="/xl/charts/chart9.xml" /><Relationship Id="rId44" Type="http://schemas.openxmlformats.org/officeDocument/2006/relationships/chart" Target="/xl/charts/chart10.xml" /><Relationship Id="rId45" Type="http://schemas.openxmlformats.org/officeDocument/2006/relationships/chart" Target="/xl/charts/chart11.xml" /><Relationship Id="rId46" Type="http://schemas.openxmlformats.org/officeDocument/2006/relationships/chart" Target="/xl/charts/chart12.xml" /><Relationship Id="rId47" Type="http://schemas.openxmlformats.org/officeDocument/2006/relationships/chart" Target="/xl/charts/chart13.xml" /><Relationship Id="rId48" Type="http://schemas.openxmlformats.org/officeDocument/2006/relationships/image" Target="../media/image43.emf" /><Relationship Id="rId49" Type="http://schemas.openxmlformats.org/officeDocument/2006/relationships/image" Target="../media/image42.emf" /><Relationship Id="rId50" Type="http://schemas.openxmlformats.org/officeDocument/2006/relationships/image" Target="../media/image52.emf" /><Relationship Id="rId51" Type="http://schemas.openxmlformats.org/officeDocument/2006/relationships/image" Target="../media/image45.emf" /><Relationship Id="rId52" Type="http://schemas.openxmlformats.org/officeDocument/2006/relationships/chart" Target="/xl/charts/chart14.xml" /><Relationship Id="rId53" Type="http://schemas.openxmlformats.org/officeDocument/2006/relationships/image" Target="../media/image47.emf" /><Relationship Id="rId54" Type="http://schemas.openxmlformats.org/officeDocument/2006/relationships/image" Target="../media/image48.emf" /><Relationship Id="rId55" Type="http://schemas.openxmlformats.org/officeDocument/2006/relationships/image" Target="../media/image51.emf" /><Relationship Id="rId56" Type="http://schemas.openxmlformats.org/officeDocument/2006/relationships/image" Target="../media/image54.emf" /><Relationship Id="rId57" Type="http://schemas.openxmlformats.org/officeDocument/2006/relationships/image" Target="../media/image55.emf" /><Relationship Id="rId58" Type="http://schemas.openxmlformats.org/officeDocument/2006/relationships/chart" Target="/xl/charts/chart15.xml" /><Relationship Id="rId59" Type="http://schemas.openxmlformats.org/officeDocument/2006/relationships/image" Target="../media/image56.emf" /><Relationship Id="rId60" Type="http://schemas.openxmlformats.org/officeDocument/2006/relationships/image" Target="../media/image57.emf" /><Relationship Id="rId61" Type="http://schemas.openxmlformats.org/officeDocument/2006/relationships/chart" Target="/xl/charts/chart16.xml" /><Relationship Id="rId62" Type="http://schemas.openxmlformats.org/officeDocument/2006/relationships/image" Target="../media/image60.emf" /><Relationship Id="rId63" Type="http://schemas.openxmlformats.org/officeDocument/2006/relationships/image" Target="../media/image63.emf" /><Relationship Id="rId64" Type="http://schemas.openxmlformats.org/officeDocument/2006/relationships/image" Target="../media/image58.emf" /><Relationship Id="rId65" Type="http://schemas.openxmlformats.org/officeDocument/2006/relationships/image" Target="../media/image59.emf" /><Relationship Id="rId66" Type="http://schemas.openxmlformats.org/officeDocument/2006/relationships/image" Target="../media/image62.emf" /><Relationship Id="rId67" Type="http://schemas.openxmlformats.org/officeDocument/2006/relationships/image" Target="../media/image61.emf" /><Relationship Id="rId68" Type="http://schemas.openxmlformats.org/officeDocument/2006/relationships/image" Target="../media/image65.emf" /><Relationship Id="rId69" Type="http://schemas.openxmlformats.org/officeDocument/2006/relationships/image" Target="../media/image41.emf" /><Relationship Id="rId70" Type="http://schemas.openxmlformats.org/officeDocument/2006/relationships/image" Target="../media/image64.emf" /><Relationship Id="rId71" Type="http://schemas.openxmlformats.org/officeDocument/2006/relationships/image" Target="../media/image53.png" /><Relationship Id="rId72" Type="http://schemas.openxmlformats.org/officeDocument/2006/relationships/image" Target="../media/image46.emf" /><Relationship Id="rId73" Type="http://schemas.openxmlformats.org/officeDocument/2006/relationships/image" Target="../media/image66.emf" /><Relationship Id="rId74" Type="http://schemas.openxmlformats.org/officeDocument/2006/relationships/image" Target="../media/image77.emf" /><Relationship Id="rId75" Type="http://schemas.openxmlformats.org/officeDocument/2006/relationships/image" Target="../media/image31.emf" /><Relationship Id="rId76" Type="http://schemas.openxmlformats.org/officeDocument/2006/relationships/image" Target="../media/image32.emf" /><Relationship Id="rId77" Type="http://schemas.openxmlformats.org/officeDocument/2006/relationships/image" Target="../media/image29.emf" /><Relationship Id="rId78" Type="http://schemas.openxmlformats.org/officeDocument/2006/relationships/image" Target="../media/image30.emf" /><Relationship Id="rId79" Type="http://schemas.openxmlformats.org/officeDocument/2006/relationships/image" Target="../media/image34.emf" /><Relationship Id="rId80" Type="http://schemas.openxmlformats.org/officeDocument/2006/relationships/image" Target="../media/image35.png" /><Relationship Id="rId81" Type="http://schemas.openxmlformats.org/officeDocument/2006/relationships/image" Target="../media/image36.png" /><Relationship Id="rId82" Type="http://schemas.openxmlformats.org/officeDocument/2006/relationships/image" Target="../media/image126.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27.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2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7.png" /><Relationship Id="rId3" Type="http://schemas.openxmlformats.org/officeDocument/2006/relationships/image" Target="../media/image38.png" /><Relationship Id="rId4" Type="http://schemas.openxmlformats.org/officeDocument/2006/relationships/image" Target="../media/image49.png" /><Relationship Id="rId5" Type="http://schemas.openxmlformats.org/officeDocument/2006/relationships/image" Target="../media/image53.png" /><Relationship Id="rId6" Type="http://schemas.openxmlformats.org/officeDocument/2006/relationships/image" Target="../media/image67.png" /><Relationship Id="rId7" Type="http://schemas.openxmlformats.org/officeDocument/2006/relationships/image" Target="../media/image12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52</xdr:row>
      <xdr:rowOff>133350</xdr:rowOff>
    </xdr:from>
    <xdr:to>
      <xdr:col>6</xdr:col>
      <xdr:colOff>66675</xdr:colOff>
      <xdr:row>57</xdr:row>
      <xdr:rowOff>19050</xdr:rowOff>
    </xdr:to>
    <xdr:sp>
      <xdr:nvSpPr>
        <xdr:cNvPr id="1" name="AutoShape 60"/>
        <xdr:cNvSpPr>
          <a:spLocks/>
        </xdr:cNvSpPr>
      </xdr:nvSpPr>
      <xdr:spPr>
        <a:xfrm>
          <a:off x="2562225" y="8553450"/>
          <a:ext cx="2076450" cy="695325"/>
        </a:xfrm>
        <a:prstGeom prst="bevel">
          <a:avLst/>
        </a:prstGeom>
        <a:solidFill>
          <a:srgbClr val="FF0000"/>
        </a:solidFill>
        <a:ln w="9525" cmpd="sng">
          <a:solidFill>
            <a:srgbClr val="FFFF99"/>
          </a:solidFill>
          <a:headEnd type="none"/>
          <a:tailEnd type="none"/>
        </a:ln>
      </xdr:spPr>
      <xdr:txBody>
        <a:bodyPr vertOverflow="clip" wrap="square"/>
        <a:p>
          <a:pPr algn="ctr">
            <a:defRPr/>
          </a:pPr>
          <a:r>
            <a:rPr lang="en-US" cap="none" sz="1400" b="1" i="0" u="none" baseline="0">
              <a:solidFill>
                <a:srgbClr val="FFFF00"/>
              </a:solidFill>
              <a:latin typeface="Arial"/>
              <a:ea typeface="Arial"/>
              <a:cs typeface="Arial"/>
            </a:rPr>
            <a:t>Tabla de Polinomios ortogonales.</a:t>
          </a:r>
        </a:p>
      </xdr:txBody>
    </xdr:sp>
    <xdr:clientData/>
  </xdr:twoCellAnchor>
  <xdr:twoCellAnchor>
    <xdr:from>
      <xdr:col>0</xdr:col>
      <xdr:colOff>0</xdr:colOff>
      <xdr:row>0</xdr:row>
      <xdr:rowOff>19050</xdr:rowOff>
    </xdr:from>
    <xdr:to>
      <xdr:col>10</xdr:col>
      <xdr:colOff>57150</xdr:colOff>
      <xdr:row>57</xdr:row>
      <xdr:rowOff>9525</xdr:rowOff>
    </xdr:to>
    <xdr:sp>
      <xdr:nvSpPr>
        <xdr:cNvPr id="2" name="Rectangle 3"/>
        <xdr:cNvSpPr>
          <a:spLocks/>
        </xdr:cNvSpPr>
      </xdr:nvSpPr>
      <xdr:spPr>
        <a:xfrm>
          <a:off x="0" y="19050"/>
          <a:ext cx="7677150" cy="9220200"/>
        </a:xfrm>
        <a:prstGeom prst="rect">
          <a:avLst/>
        </a:prstGeom>
        <a:gradFill rotWithShape="1">
          <a:gsLst>
            <a:gs pos="0">
              <a:srgbClr val="FFFFCC"/>
            </a:gs>
            <a:gs pos="100000">
              <a:srgbClr val="FFFF99"/>
            </a:gs>
          </a:gsLst>
          <a:path path="rect">
            <a:fillToRect r="100000" b="100000"/>
          </a:path>
        </a:gra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1</xdr:row>
      <xdr:rowOff>47625</xdr:rowOff>
    </xdr:from>
    <xdr:to>
      <xdr:col>9</xdr:col>
      <xdr:colOff>342900</xdr:colOff>
      <xdr:row>5</xdr:row>
      <xdr:rowOff>47625</xdr:rowOff>
    </xdr:to>
    <xdr:sp>
      <xdr:nvSpPr>
        <xdr:cNvPr id="3" name="Rectangle 4"/>
        <xdr:cNvSpPr>
          <a:spLocks/>
        </xdr:cNvSpPr>
      </xdr:nvSpPr>
      <xdr:spPr>
        <a:xfrm>
          <a:off x="2133600" y="209550"/>
          <a:ext cx="5067300" cy="647700"/>
        </a:xfrm>
        <a:prstGeom prst="roundRect">
          <a:avLst/>
        </a:prstGeom>
        <a:blipFill>
          <a:blip r:embed="rId67"/>
          <a:srcRect/>
          <a:stretch>
            <a:fillRect/>
          </a:stretch>
        </a:blipFill>
        <a:ln w="9525" cmpd="sng">
          <a:solidFill>
            <a:srgbClr val="000000"/>
          </a:solidFill>
          <a:headEnd type="none"/>
          <a:tailEnd type="none"/>
        </a:ln>
      </xdr:spPr>
      <xdr:txBody>
        <a:bodyPr vertOverflow="clip" wrap="square"/>
        <a:p>
          <a:pPr algn="ctr">
            <a:defRPr/>
          </a:pPr>
          <a:r>
            <a:rPr lang="en-US" cap="none" sz="1800" b="1" i="0" u="none" baseline="0">
              <a:solidFill>
                <a:srgbClr val="FFCC00"/>
              </a:solidFill>
            </a:rPr>
            <a:t>Apuntes Computarizados de Estadística Aplicada
Tema: Regresión Lineal Simple; Charla</a:t>
          </a:r>
        </a:p>
      </xdr:txBody>
    </xdr:sp>
    <xdr:clientData/>
  </xdr:twoCellAnchor>
  <xdr:twoCellAnchor>
    <xdr:from>
      <xdr:col>3</xdr:col>
      <xdr:colOff>238125</xdr:colOff>
      <xdr:row>9</xdr:row>
      <xdr:rowOff>123825</xdr:rowOff>
    </xdr:from>
    <xdr:to>
      <xdr:col>9</xdr:col>
      <xdr:colOff>619125</xdr:colOff>
      <xdr:row>10</xdr:row>
      <xdr:rowOff>123825</xdr:rowOff>
    </xdr:to>
    <xdr:sp>
      <xdr:nvSpPr>
        <xdr:cNvPr id="4" name="TextBox 6">
          <a:hlinkClick r:id="rId1"/>
        </xdr:cNvPr>
        <xdr:cNvSpPr txBox="1">
          <a:spLocks noChangeArrowheads="1"/>
        </xdr:cNvSpPr>
      </xdr:nvSpPr>
      <xdr:spPr>
        <a:xfrm>
          <a:off x="2524125" y="1581150"/>
          <a:ext cx="4953000" cy="161925"/>
        </a:xfrm>
        <a:prstGeom prst="rect">
          <a:avLst/>
        </a:prstGeom>
        <a:blipFill>
          <a:blip r:embed="rId6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D_09. El Diagrama de dispersión
F_07. Diagrama de Dispersión</a:t>
          </a:r>
        </a:p>
      </xdr:txBody>
    </xdr:sp>
    <xdr:clientData/>
  </xdr:twoCellAnchor>
  <xdr:twoCellAnchor>
    <xdr:from>
      <xdr:col>3</xdr:col>
      <xdr:colOff>238125</xdr:colOff>
      <xdr:row>10</xdr:row>
      <xdr:rowOff>142875</xdr:rowOff>
    </xdr:from>
    <xdr:to>
      <xdr:col>9</xdr:col>
      <xdr:colOff>619125</xdr:colOff>
      <xdr:row>11</xdr:row>
      <xdr:rowOff>142875</xdr:rowOff>
    </xdr:to>
    <xdr:sp>
      <xdr:nvSpPr>
        <xdr:cNvPr id="5" name="TextBox 8">
          <a:hlinkClick r:id="rId2"/>
        </xdr:cNvPr>
        <xdr:cNvSpPr txBox="1">
          <a:spLocks noChangeArrowheads="1"/>
        </xdr:cNvSpPr>
      </xdr:nvSpPr>
      <xdr:spPr>
        <a:xfrm>
          <a:off x="2524125" y="1762125"/>
          <a:ext cx="4953000" cy="161925"/>
        </a:xfrm>
        <a:prstGeom prst="rect">
          <a:avLst/>
        </a:prstGeom>
        <a:blipFill>
          <a:blip r:embed="rId6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D_11. El Modelo con la HE:
F_07. Diagrama de Dispersión</a:t>
          </a:r>
        </a:p>
      </xdr:txBody>
    </xdr:sp>
    <xdr:clientData/>
  </xdr:twoCellAnchor>
  <xdr:twoCellAnchor>
    <xdr:from>
      <xdr:col>3</xdr:col>
      <xdr:colOff>238125</xdr:colOff>
      <xdr:row>12</xdr:row>
      <xdr:rowOff>0</xdr:rowOff>
    </xdr:from>
    <xdr:to>
      <xdr:col>9</xdr:col>
      <xdr:colOff>619125</xdr:colOff>
      <xdr:row>13</xdr:row>
      <xdr:rowOff>0</xdr:rowOff>
    </xdr:to>
    <xdr:sp>
      <xdr:nvSpPr>
        <xdr:cNvPr id="6" name="TextBox 9">
          <a:hlinkClick r:id="rId3"/>
        </xdr:cNvPr>
        <xdr:cNvSpPr txBox="1">
          <a:spLocks noChangeArrowheads="1"/>
        </xdr:cNvSpPr>
      </xdr:nvSpPr>
      <xdr:spPr>
        <a:xfrm>
          <a:off x="2524125" y="1943100"/>
          <a:ext cx="4953000" cy="161925"/>
        </a:xfrm>
        <a:prstGeom prst="rect">
          <a:avLst/>
        </a:prstGeom>
        <a:blipFill>
          <a:blip r:embed="rId7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D_12. Obteniendo la línea de regresión y la suma de cuadrados del error
F_07. Diagrama de Dispersión</a:t>
          </a:r>
        </a:p>
      </xdr:txBody>
    </xdr:sp>
    <xdr:clientData/>
  </xdr:twoCellAnchor>
  <xdr:twoCellAnchor>
    <xdr:from>
      <xdr:col>2</xdr:col>
      <xdr:colOff>609600</xdr:colOff>
      <xdr:row>1</xdr:row>
      <xdr:rowOff>19050</xdr:rowOff>
    </xdr:from>
    <xdr:to>
      <xdr:col>9</xdr:col>
      <xdr:colOff>342900</xdr:colOff>
      <xdr:row>6</xdr:row>
      <xdr:rowOff>19050</xdr:rowOff>
    </xdr:to>
    <xdr:sp>
      <xdr:nvSpPr>
        <xdr:cNvPr id="7" name="Rectangle 12"/>
        <xdr:cNvSpPr>
          <a:spLocks/>
        </xdr:cNvSpPr>
      </xdr:nvSpPr>
      <xdr:spPr>
        <a:xfrm>
          <a:off x="2133600" y="180975"/>
          <a:ext cx="5067300" cy="809625"/>
        </a:xfrm>
        <a:prstGeom prst="roundRect">
          <a:avLst/>
        </a:prstGeom>
        <a:blipFill>
          <a:blip r:embed="rId71"/>
          <a:srcRect/>
          <a:stretch>
            <a:fillRect/>
          </a:stretch>
        </a:blipFill>
        <a:ln w="9525" cmpd="sng">
          <a:solidFill>
            <a:srgbClr val="000000"/>
          </a:solidFill>
          <a:headEnd type="none"/>
          <a:tailEnd type="none"/>
        </a:ln>
      </xdr:spPr>
      <xdr:txBody>
        <a:bodyPr vertOverflow="clip" wrap="square"/>
        <a:p>
          <a:pPr algn="ctr">
            <a:defRPr/>
          </a:pPr>
          <a:r>
            <a:rPr lang="en-US" cap="none" sz="1800" b="1" i="0" u="none" baseline="0">
              <a:solidFill>
                <a:srgbClr val="FFCC00"/>
              </a:solidFill>
            </a:rPr>
            <a:t>Apuntes Computarizados de Estadística Aplicada
Tema: Regresión Lineal Simple; Charla</a:t>
          </a:r>
        </a:p>
      </xdr:txBody>
    </xdr:sp>
    <xdr:clientData/>
  </xdr:twoCellAnchor>
  <xdr:twoCellAnchor>
    <xdr:from>
      <xdr:col>3</xdr:col>
      <xdr:colOff>247650</xdr:colOff>
      <xdr:row>8</xdr:row>
      <xdr:rowOff>76200</xdr:rowOff>
    </xdr:from>
    <xdr:to>
      <xdr:col>9</xdr:col>
      <xdr:colOff>619125</xdr:colOff>
      <xdr:row>9</xdr:row>
      <xdr:rowOff>104775</xdr:rowOff>
    </xdr:to>
    <xdr:sp>
      <xdr:nvSpPr>
        <xdr:cNvPr id="8" name="TextBox 13">
          <a:hlinkClick r:id="rId4"/>
        </xdr:cNvPr>
        <xdr:cNvSpPr txBox="1">
          <a:spLocks noChangeArrowheads="1"/>
        </xdr:cNvSpPr>
      </xdr:nvSpPr>
      <xdr:spPr>
        <a:xfrm>
          <a:off x="2533650" y="1371600"/>
          <a:ext cx="4943475" cy="190500"/>
        </a:xfrm>
        <a:prstGeom prst="rect">
          <a:avLst/>
        </a:prstGeom>
        <a:blipFill>
          <a:blip r:embed="rId7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D_07. Caso de ambas variables aleatorias</a:t>
          </a:r>
        </a:p>
      </xdr:txBody>
    </xdr:sp>
    <xdr:clientData/>
  </xdr:twoCellAnchor>
  <xdr:twoCellAnchor>
    <xdr:from>
      <xdr:col>3</xdr:col>
      <xdr:colOff>238125</xdr:colOff>
      <xdr:row>13</xdr:row>
      <xdr:rowOff>19050</xdr:rowOff>
    </xdr:from>
    <xdr:to>
      <xdr:col>9</xdr:col>
      <xdr:colOff>619125</xdr:colOff>
      <xdr:row>14</xdr:row>
      <xdr:rowOff>19050</xdr:rowOff>
    </xdr:to>
    <xdr:sp>
      <xdr:nvSpPr>
        <xdr:cNvPr id="9" name="TextBox 19">
          <a:hlinkClick r:id="rId5"/>
        </xdr:cNvPr>
        <xdr:cNvSpPr txBox="1">
          <a:spLocks noChangeArrowheads="1"/>
        </xdr:cNvSpPr>
      </xdr:nvSpPr>
      <xdr:spPr>
        <a:xfrm>
          <a:off x="2524125" y="2124075"/>
          <a:ext cx="4953000" cy="161925"/>
        </a:xfrm>
        <a:prstGeom prst="rect">
          <a:avLst/>
        </a:prstGeom>
        <a:blipFill>
          <a:blip r:embed="rId7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D_13. La línea de mejor ajuste.
F_07. Diagrama de Dispersión</a:t>
          </a:r>
        </a:p>
      </xdr:txBody>
    </xdr:sp>
    <xdr:clientData/>
  </xdr:twoCellAnchor>
  <xdr:twoCellAnchor>
    <xdr:from>
      <xdr:col>3</xdr:col>
      <xdr:colOff>238125</xdr:colOff>
      <xdr:row>14</xdr:row>
      <xdr:rowOff>38100</xdr:rowOff>
    </xdr:from>
    <xdr:to>
      <xdr:col>9</xdr:col>
      <xdr:colOff>619125</xdr:colOff>
      <xdr:row>15</xdr:row>
      <xdr:rowOff>38100</xdr:rowOff>
    </xdr:to>
    <xdr:sp>
      <xdr:nvSpPr>
        <xdr:cNvPr id="10" name="TextBox 20">
          <a:hlinkClick r:id="rId6"/>
        </xdr:cNvPr>
        <xdr:cNvSpPr txBox="1">
          <a:spLocks noChangeArrowheads="1"/>
        </xdr:cNvSpPr>
      </xdr:nvSpPr>
      <xdr:spPr>
        <a:xfrm>
          <a:off x="2524125" y="2305050"/>
          <a:ext cx="4953000" cy="161925"/>
        </a:xfrm>
        <a:prstGeom prst="rect">
          <a:avLst/>
        </a:prstGeom>
        <a:blipFill>
          <a:blip r:embed="rId7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D-14.  Estadística Descriptiva
. Estadística Descriptiva.
F_07. Diagrama de Dispersión</a:t>
          </a:r>
        </a:p>
      </xdr:txBody>
    </xdr:sp>
    <xdr:clientData/>
  </xdr:twoCellAnchor>
  <xdr:twoCellAnchor>
    <xdr:from>
      <xdr:col>3</xdr:col>
      <xdr:colOff>238125</xdr:colOff>
      <xdr:row>15</xdr:row>
      <xdr:rowOff>57150</xdr:rowOff>
    </xdr:from>
    <xdr:to>
      <xdr:col>9</xdr:col>
      <xdr:colOff>619125</xdr:colOff>
      <xdr:row>16</xdr:row>
      <xdr:rowOff>57150</xdr:rowOff>
    </xdr:to>
    <xdr:sp>
      <xdr:nvSpPr>
        <xdr:cNvPr id="11" name="TextBox 21">
          <a:hlinkClick r:id="rId7"/>
        </xdr:cNvPr>
        <xdr:cNvSpPr txBox="1">
          <a:spLocks noChangeArrowheads="1"/>
        </xdr:cNvSpPr>
      </xdr:nvSpPr>
      <xdr:spPr>
        <a:xfrm>
          <a:off x="2524125" y="2486025"/>
          <a:ext cx="4953000" cy="161925"/>
        </a:xfrm>
        <a:prstGeom prst="rect">
          <a:avLst/>
        </a:prstGeom>
        <a:blipFill>
          <a:blip r:embed="rId7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D_15. La Suma de Cuadrados Total o General = SCT
F_07. Diagrama de Dispersión</a:t>
          </a:r>
        </a:p>
      </xdr:txBody>
    </xdr:sp>
    <xdr:clientData/>
  </xdr:twoCellAnchor>
  <xdr:twoCellAnchor>
    <xdr:from>
      <xdr:col>3</xdr:col>
      <xdr:colOff>238125</xdr:colOff>
      <xdr:row>16</xdr:row>
      <xdr:rowOff>76200</xdr:rowOff>
    </xdr:from>
    <xdr:to>
      <xdr:col>9</xdr:col>
      <xdr:colOff>619125</xdr:colOff>
      <xdr:row>17</xdr:row>
      <xdr:rowOff>76200</xdr:rowOff>
    </xdr:to>
    <xdr:sp>
      <xdr:nvSpPr>
        <xdr:cNvPr id="12" name="TextBox 22">
          <a:hlinkClick r:id="rId8"/>
        </xdr:cNvPr>
        <xdr:cNvSpPr txBox="1">
          <a:spLocks noChangeArrowheads="1"/>
        </xdr:cNvSpPr>
      </xdr:nvSpPr>
      <xdr:spPr>
        <a:xfrm>
          <a:off x="2524125" y="2667000"/>
          <a:ext cx="4953000" cy="161925"/>
        </a:xfrm>
        <a:prstGeom prst="rect">
          <a:avLst/>
        </a:prstGeom>
        <a:blipFill>
          <a:blip r:embed="rId7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D_16. La Suma de Cuadrados de Regresión = SCR
F_07. Diagrama de Dispersión</a:t>
          </a:r>
        </a:p>
      </xdr:txBody>
    </xdr:sp>
    <xdr:clientData/>
  </xdr:twoCellAnchor>
  <xdr:twoCellAnchor>
    <xdr:from>
      <xdr:col>3</xdr:col>
      <xdr:colOff>238125</xdr:colOff>
      <xdr:row>18</xdr:row>
      <xdr:rowOff>114300</xdr:rowOff>
    </xdr:from>
    <xdr:to>
      <xdr:col>9</xdr:col>
      <xdr:colOff>619125</xdr:colOff>
      <xdr:row>19</xdr:row>
      <xdr:rowOff>114300</xdr:rowOff>
    </xdr:to>
    <xdr:sp>
      <xdr:nvSpPr>
        <xdr:cNvPr id="13" name="TextBox 23">
          <a:hlinkClick r:id="rId9"/>
        </xdr:cNvPr>
        <xdr:cNvSpPr txBox="1">
          <a:spLocks noChangeArrowheads="1"/>
        </xdr:cNvSpPr>
      </xdr:nvSpPr>
      <xdr:spPr>
        <a:xfrm>
          <a:off x="2524125" y="3028950"/>
          <a:ext cx="4953000" cy="161925"/>
        </a:xfrm>
        <a:prstGeom prst="rect">
          <a:avLst/>
        </a:prstGeom>
        <a:blipFill>
          <a:blip r:embed="rId7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D_19. El Cuadro del ANDEVA
F_07. Diagrama de Dispersión</a:t>
          </a:r>
        </a:p>
      </xdr:txBody>
    </xdr:sp>
    <xdr:clientData/>
  </xdr:twoCellAnchor>
  <xdr:twoCellAnchor>
    <xdr:from>
      <xdr:col>3</xdr:col>
      <xdr:colOff>247650</xdr:colOff>
      <xdr:row>22</xdr:row>
      <xdr:rowOff>19050</xdr:rowOff>
    </xdr:from>
    <xdr:to>
      <xdr:col>9</xdr:col>
      <xdr:colOff>628650</xdr:colOff>
      <xdr:row>23</xdr:row>
      <xdr:rowOff>19050</xdr:rowOff>
    </xdr:to>
    <xdr:sp>
      <xdr:nvSpPr>
        <xdr:cNvPr id="14" name="TextBox 25">
          <a:hlinkClick r:id="rId10"/>
        </xdr:cNvPr>
        <xdr:cNvSpPr txBox="1">
          <a:spLocks noChangeArrowheads="1"/>
        </xdr:cNvSpPr>
      </xdr:nvSpPr>
      <xdr:spPr>
        <a:xfrm>
          <a:off x="2533650" y="3581400"/>
          <a:ext cx="4953000" cy="161925"/>
        </a:xfrm>
        <a:prstGeom prst="rect">
          <a:avLst/>
        </a:prstGeom>
        <a:blipFill>
          <a:blip r:embed="rId7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D_22. Prueba de Hipótesis para la Interceptada
F_07. Diagrama de Dispersión</a:t>
          </a:r>
        </a:p>
      </xdr:txBody>
    </xdr:sp>
    <xdr:clientData/>
  </xdr:twoCellAnchor>
  <xdr:twoCellAnchor>
    <xdr:from>
      <xdr:col>3</xdr:col>
      <xdr:colOff>247650</xdr:colOff>
      <xdr:row>23</xdr:row>
      <xdr:rowOff>38100</xdr:rowOff>
    </xdr:from>
    <xdr:to>
      <xdr:col>9</xdr:col>
      <xdr:colOff>628650</xdr:colOff>
      <xdr:row>24</xdr:row>
      <xdr:rowOff>38100</xdr:rowOff>
    </xdr:to>
    <xdr:sp>
      <xdr:nvSpPr>
        <xdr:cNvPr id="15" name="TextBox 26">
          <a:hlinkClick r:id="rId11"/>
        </xdr:cNvPr>
        <xdr:cNvSpPr txBox="1">
          <a:spLocks noChangeArrowheads="1"/>
        </xdr:cNvSpPr>
      </xdr:nvSpPr>
      <xdr:spPr>
        <a:xfrm>
          <a:off x="2533650" y="3762375"/>
          <a:ext cx="4953000" cy="161925"/>
        </a:xfrm>
        <a:prstGeom prst="rect">
          <a:avLst/>
        </a:prstGeom>
        <a:blipFill>
          <a:blip r:embed="rId7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D_23. Intervalo confiable 95% para la Interceptada
F_07. Diagrama de Dispersión</a:t>
          </a:r>
        </a:p>
      </xdr:txBody>
    </xdr:sp>
    <xdr:clientData/>
  </xdr:twoCellAnchor>
  <xdr:twoCellAnchor>
    <xdr:from>
      <xdr:col>3</xdr:col>
      <xdr:colOff>238125</xdr:colOff>
      <xdr:row>19</xdr:row>
      <xdr:rowOff>133350</xdr:rowOff>
    </xdr:from>
    <xdr:to>
      <xdr:col>9</xdr:col>
      <xdr:colOff>628650</xdr:colOff>
      <xdr:row>20</xdr:row>
      <xdr:rowOff>142875</xdr:rowOff>
    </xdr:to>
    <xdr:sp>
      <xdr:nvSpPr>
        <xdr:cNvPr id="16" name="TextBox 27">
          <a:hlinkClick r:id="rId12"/>
        </xdr:cNvPr>
        <xdr:cNvSpPr txBox="1">
          <a:spLocks noChangeArrowheads="1"/>
        </xdr:cNvSpPr>
      </xdr:nvSpPr>
      <xdr:spPr>
        <a:xfrm>
          <a:off x="2524125" y="3209925"/>
          <a:ext cx="4962525" cy="171450"/>
        </a:xfrm>
        <a:prstGeom prst="rect">
          <a:avLst/>
        </a:prstGeom>
        <a:blipFill>
          <a:blip r:embed="rId8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D_20. Cálculos para el ANDEVA paso a paso.</a:t>
          </a:r>
        </a:p>
      </xdr:txBody>
    </xdr:sp>
    <xdr:clientData/>
  </xdr:twoCellAnchor>
  <xdr:twoCellAnchor>
    <xdr:from>
      <xdr:col>3</xdr:col>
      <xdr:colOff>247650</xdr:colOff>
      <xdr:row>21</xdr:row>
      <xdr:rowOff>0</xdr:rowOff>
    </xdr:from>
    <xdr:to>
      <xdr:col>9</xdr:col>
      <xdr:colOff>628650</xdr:colOff>
      <xdr:row>22</xdr:row>
      <xdr:rowOff>0</xdr:rowOff>
    </xdr:to>
    <xdr:sp>
      <xdr:nvSpPr>
        <xdr:cNvPr id="17" name="TextBox 28">
          <a:hlinkClick r:id="rId13"/>
        </xdr:cNvPr>
        <xdr:cNvSpPr txBox="1">
          <a:spLocks noChangeArrowheads="1"/>
        </xdr:cNvSpPr>
      </xdr:nvSpPr>
      <xdr:spPr>
        <a:xfrm>
          <a:off x="2533650" y="3400425"/>
          <a:ext cx="4953000" cy="161925"/>
        </a:xfrm>
        <a:prstGeom prst="rect">
          <a:avLst/>
        </a:prstGeom>
        <a:blipFill>
          <a:blip r:embed="rId8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D_21. Objetivos del ANDEVA</a:t>
          </a:r>
        </a:p>
      </xdr:txBody>
    </xdr:sp>
    <xdr:clientData/>
  </xdr:twoCellAnchor>
  <xdr:twoCellAnchor>
    <xdr:from>
      <xdr:col>3</xdr:col>
      <xdr:colOff>238125</xdr:colOff>
      <xdr:row>24</xdr:row>
      <xdr:rowOff>57150</xdr:rowOff>
    </xdr:from>
    <xdr:to>
      <xdr:col>9</xdr:col>
      <xdr:colOff>619125</xdr:colOff>
      <xdr:row>25</xdr:row>
      <xdr:rowOff>57150</xdr:rowOff>
    </xdr:to>
    <xdr:sp>
      <xdr:nvSpPr>
        <xdr:cNvPr id="18" name="TextBox 29">
          <a:hlinkClick r:id="rId14"/>
        </xdr:cNvPr>
        <xdr:cNvSpPr txBox="1">
          <a:spLocks noChangeArrowheads="1"/>
        </xdr:cNvSpPr>
      </xdr:nvSpPr>
      <xdr:spPr>
        <a:xfrm>
          <a:off x="2524125" y="3943350"/>
          <a:ext cx="4953000" cy="161925"/>
        </a:xfrm>
        <a:prstGeom prst="rect">
          <a:avLst/>
        </a:prstGeom>
        <a:blipFill>
          <a:blip r:embed="rId8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D_24, Prueba de Hipótesis sobre la pendiente
F_07. Diagrama de Dispersión</a:t>
          </a:r>
        </a:p>
      </xdr:txBody>
    </xdr:sp>
    <xdr:clientData/>
  </xdr:twoCellAnchor>
  <xdr:twoCellAnchor>
    <xdr:from>
      <xdr:col>3</xdr:col>
      <xdr:colOff>238125</xdr:colOff>
      <xdr:row>25</xdr:row>
      <xdr:rowOff>76200</xdr:rowOff>
    </xdr:from>
    <xdr:to>
      <xdr:col>9</xdr:col>
      <xdr:colOff>619125</xdr:colOff>
      <xdr:row>26</xdr:row>
      <xdr:rowOff>76200</xdr:rowOff>
    </xdr:to>
    <xdr:sp>
      <xdr:nvSpPr>
        <xdr:cNvPr id="19" name="TextBox 30">
          <a:hlinkClick r:id="rId15"/>
        </xdr:cNvPr>
        <xdr:cNvSpPr txBox="1">
          <a:spLocks noChangeArrowheads="1"/>
        </xdr:cNvSpPr>
      </xdr:nvSpPr>
      <xdr:spPr>
        <a:xfrm>
          <a:off x="2524125" y="4124325"/>
          <a:ext cx="4953000" cy="161925"/>
        </a:xfrm>
        <a:prstGeom prst="rect">
          <a:avLst/>
        </a:prstGeom>
        <a:blipFill>
          <a:blip r:embed="rId8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D_25. Intervalo confiable 95% para la Pendiente
F_07. Diagrama de Dispersión</a:t>
          </a:r>
        </a:p>
      </xdr:txBody>
    </xdr:sp>
    <xdr:clientData/>
  </xdr:twoCellAnchor>
  <xdr:twoCellAnchor>
    <xdr:from>
      <xdr:col>3</xdr:col>
      <xdr:colOff>238125</xdr:colOff>
      <xdr:row>27</xdr:row>
      <xdr:rowOff>133350</xdr:rowOff>
    </xdr:from>
    <xdr:to>
      <xdr:col>9</xdr:col>
      <xdr:colOff>619125</xdr:colOff>
      <xdr:row>28</xdr:row>
      <xdr:rowOff>133350</xdr:rowOff>
    </xdr:to>
    <xdr:sp>
      <xdr:nvSpPr>
        <xdr:cNvPr id="20" name="TextBox 31">
          <a:hlinkClick r:id="rId16"/>
        </xdr:cNvPr>
        <xdr:cNvSpPr txBox="1">
          <a:spLocks noChangeArrowheads="1"/>
        </xdr:cNvSpPr>
      </xdr:nvSpPr>
      <xdr:spPr>
        <a:xfrm>
          <a:off x="2524125" y="4505325"/>
          <a:ext cx="4953000" cy="161925"/>
        </a:xfrm>
        <a:prstGeom prst="rect">
          <a:avLst/>
        </a:prstGeom>
        <a:blipFill>
          <a:blip r:embed="rId8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D_29. Tabla de las Bandas de Confianza 95%
F_07. Diagrama de Dispersión</a:t>
          </a:r>
        </a:p>
      </xdr:txBody>
    </xdr:sp>
    <xdr:clientData/>
  </xdr:twoCellAnchor>
  <xdr:twoCellAnchor>
    <xdr:from>
      <xdr:col>3</xdr:col>
      <xdr:colOff>238125</xdr:colOff>
      <xdr:row>28</xdr:row>
      <xdr:rowOff>152400</xdr:rowOff>
    </xdr:from>
    <xdr:to>
      <xdr:col>9</xdr:col>
      <xdr:colOff>619125</xdr:colOff>
      <xdr:row>29</xdr:row>
      <xdr:rowOff>152400</xdr:rowOff>
    </xdr:to>
    <xdr:sp>
      <xdr:nvSpPr>
        <xdr:cNvPr id="21" name="TextBox 32">
          <a:hlinkClick r:id="rId17"/>
        </xdr:cNvPr>
        <xdr:cNvSpPr txBox="1">
          <a:spLocks noChangeArrowheads="1"/>
        </xdr:cNvSpPr>
      </xdr:nvSpPr>
      <xdr:spPr>
        <a:xfrm>
          <a:off x="2524125" y="4686300"/>
          <a:ext cx="4953000" cy="161925"/>
        </a:xfrm>
        <a:prstGeom prst="rect">
          <a:avLst/>
        </a:prstGeom>
        <a:blipFill>
          <a:blip r:embed="rId8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D_30.  Gráfico de las Bandas de Confianza.
</a:t>
          </a:r>
        </a:p>
      </xdr:txBody>
    </xdr:sp>
    <xdr:clientData/>
  </xdr:twoCellAnchor>
  <xdr:twoCellAnchor>
    <xdr:from>
      <xdr:col>3</xdr:col>
      <xdr:colOff>247650</xdr:colOff>
      <xdr:row>26</xdr:row>
      <xdr:rowOff>95250</xdr:rowOff>
    </xdr:from>
    <xdr:to>
      <xdr:col>9</xdr:col>
      <xdr:colOff>619125</xdr:colOff>
      <xdr:row>27</xdr:row>
      <xdr:rowOff>114300</xdr:rowOff>
    </xdr:to>
    <xdr:sp>
      <xdr:nvSpPr>
        <xdr:cNvPr id="22" name="TextBox 33">
          <a:hlinkClick r:id="rId18"/>
        </xdr:cNvPr>
        <xdr:cNvSpPr txBox="1">
          <a:spLocks noChangeArrowheads="1"/>
        </xdr:cNvSpPr>
      </xdr:nvSpPr>
      <xdr:spPr>
        <a:xfrm>
          <a:off x="2533650" y="4305300"/>
          <a:ext cx="4943475" cy="180975"/>
        </a:xfrm>
        <a:prstGeom prst="rect">
          <a:avLst/>
        </a:prstGeom>
        <a:blipFill>
          <a:blip r:embed="rId8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D_27. BANDAS DE CONFIANZA 95%.</a:t>
          </a:r>
        </a:p>
      </xdr:txBody>
    </xdr:sp>
    <xdr:clientData/>
  </xdr:twoCellAnchor>
  <xdr:twoCellAnchor>
    <xdr:from>
      <xdr:col>3</xdr:col>
      <xdr:colOff>238125</xdr:colOff>
      <xdr:row>30</xdr:row>
      <xdr:rowOff>9525</xdr:rowOff>
    </xdr:from>
    <xdr:to>
      <xdr:col>9</xdr:col>
      <xdr:colOff>619125</xdr:colOff>
      <xdr:row>31</xdr:row>
      <xdr:rowOff>9525</xdr:rowOff>
    </xdr:to>
    <xdr:sp>
      <xdr:nvSpPr>
        <xdr:cNvPr id="23" name="TextBox 34">
          <a:hlinkClick r:id="rId19"/>
        </xdr:cNvPr>
        <xdr:cNvSpPr txBox="1">
          <a:spLocks noChangeArrowheads="1"/>
        </xdr:cNvSpPr>
      </xdr:nvSpPr>
      <xdr:spPr>
        <a:xfrm>
          <a:off x="2524125" y="4867275"/>
          <a:ext cx="4953000" cy="161925"/>
        </a:xfrm>
        <a:prstGeom prst="rect">
          <a:avLst/>
        </a:prstGeom>
        <a:blipFill>
          <a:blip r:embed="rId8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D_34.  Cálculo de los Coeficientes de Correlación
</a:t>
          </a:r>
        </a:p>
      </xdr:txBody>
    </xdr:sp>
    <xdr:clientData/>
  </xdr:twoCellAnchor>
  <xdr:twoCellAnchor>
    <xdr:from>
      <xdr:col>3</xdr:col>
      <xdr:colOff>238125</xdr:colOff>
      <xdr:row>31</xdr:row>
      <xdr:rowOff>28575</xdr:rowOff>
    </xdr:from>
    <xdr:to>
      <xdr:col>9</xdr:col>
      <xdr:colOff>609600</xdr:colOff>
      <xdr:row>32</xdr:row>
      <xdr:rowOff>38100</xdr:rowOff>
    </xdr:to>
    <xdr:sp>
      <xdr:nvSpPr>
        <xdr:cNvPr id="24" name="TextBox 35">
          <a:hlinkClick r:id="rId20"/>
        </xdr:cNvPr>
        <xdr:cNvSpPr txBox="1">
          <a:spLocks noChangeArrowheads="1"/>
        </xdr:cNvSpPr>
      </xdr:nvSpPr>
      <xdr:spPr>
        <a:xfrm>
          <a:off x="2524125" y="5048250"/>
          <a:ext cx="4943475" cy="171450"/>
        </a:xfrm>
        <a:prstGeom prst="rect">
          <a:avLst/>
        </a:prstGeom>
        <a:blipFill>
          <a:blip r:embed="rId8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D_35. Estadísticos de F para la prueba de Ho; r = 0</a:t>
          </a:r>
        </a:p>
      </xdr:txBody>
    </xdr:sp>
    <xdr:clientData/>
  </xdr:twoCellAnchor>
  <xdr:twoCellAnchor>
    <xdr:from>
      <xdr:col>3</xdr:col>
      <xdr:colOff>238125</xdr:colOff>
      <xdr:row>32</xdr:row>
      <xdr:rowOff>57150</xdr:rowOff>
    </xdr:from>
    <xdr:to>
      <xdr:col>9</xdr:col>
      <xdr:colOff>619125</xdr:colOff>
      <xdr:row>33</xdr:row>
      <xdr:rowOff>57150</xdr:rowOff>
    </xdr:to>
    <xdr:sp>
      <xdr:nvSpPr>
        <xdr:cNvPr id="25" name="TextBox 36">
          <a:hlinkClick r:id="rId21"/>
        </xdr:cNvPr>
        <xdr:cNvSpPr txBox="1">
          <a:spLocks noChangeArrowheads="1"/>
        </xdr:cNvSpPr>
      </xdr:nvSpPr>
      <xdr:spPr>
        <a:xfrm>
          <a:off x="2524125" y="5238750"/>
          <a:ext cx="4953000" cy="161925"/>
        </a:xfrm>
        <a:prstGeom prst="rect">
          <a:avLst/>
        </a:prstGeom>
        <a:blipFill>
          <a:blip r:embed="rId8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D_36.  Valorando las pruebas; Probabilidad para la hipótesis r = 0.
</a:t>
          </a:r>
        </a:p>
      </xdr:txBody>
    </xdr:sp>
    <xdr:clientData/>
  </xdr:twoCellAnchor>
  <xdr:twoCellAnchor>
    <xdr:from>
      <xdr:col>3</xdr:col>
      <xdr:colOff>238125</xdr:colOff>
      <xdr:row>33</xdr:row>
      <xdr:rowOff>76200</xdr:rowOff>
    </xdr:from>
    <xdr:to>
      <xdr:col>9</xdr:col>
      <xdr:colOff>619125</xdr:colOff>
      <xdr:row>34</xdr:row>
      <xdr:rowOff>76200</xdr:rowOff>
    </xdr:to>
    <xdr:sp>
      <xdr:nvSpPr>
        <xdr:cNvPr id="26" name="TextBox 37">
          <a:hlinkClick r:id="rId22"/>
        </xdr:cNvPr>
        <xdr:cNvSpPr txBox="1">
          <a:spLocks noChangeArrowheads="1"/>
        </xdr:cNvSpPr>
      </xdr:nvSpPr>
      <xdr:spPr>
        <a:xfrm>
          <a:off x="2524125" y="5419725"/>
          <a:ext cx="4953000" cy="161925"/>
        </a:xfrm>
        <a:prstGeom prst="rect">
          <a:avLst/>
        </a:prstGeom>
        <a:blipFill>
          <a:blip r:embed="rId9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D_39.  Relación con el coeficiente de Regresión
</a:t>
          </a:r>
        </a:p>
      </xdr:txBody>
    </xdr:sp>
    <xdr:clientData/>
  </xdr:twoCellAnchor>
  <xdr:twoCellAnchor>
    <xdr:from>
      <xdr:col>3</xdr:col>
      <xdr:colOff>228600</xdr:colOff>
      <xdr:row>35</xdr:row>
      <xdr:rowOff>133350</xdr:rowOff>
    </xdr:from>
    <xdr:to>
      <xdr:col>9</xdr:col>
      <xdr:colOff>609600</xdr:colOff>
      <xdr:row>36</xdr:row>
      <xdr:rowOff>133350</xdr:rowOff>
    </xdr:to>
    <xdr:sp>
      <xdr:nvSpPr>
        <xdr:cNvPr id="27" name="TextBox 38">
          <a:hlinkClick r:id="rId23"/>
        </xdr:cNvPr>
        <xdr:cNvSpPr txBox="1">
          <a:spLocks noChangeArrowheads="1"/>
        </xdr:cNvSpPr>
      </xdr:nvSpPr>
      <xdr:spPr>
        <a:xfrm>
          <a:off x="2514600" y="5800725"/>
          <a:ext cx="4953000" cy="161925"/>
        </a:xfrm>
        <a:prstGeom prst="rect">
          <a:avLst/>
        </a:prstGeom>
        <a:blipFill>
          <a:blip r:embed="rId9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D_43.  Polinomios de grado superior.
</a:t>
          </a:r>
        </a:p>
      </xdr:txBody>
    </xdr:sp>
    <xdr:clientData/>
  </xdr:twoCellAnchor>
  <xdr:twoCellAnchor>
    <xdr:from>
      <xdr:col>3</xdr:col>
      <xdr:colOff>238125</xdr:colOff>
      <xdr:row>34</xdr:row>
      <xdr:rowOff>95250</xdr:rowOff>
    </xdr:from>
    <xdr:to>
      <xdr:col>9</xdr:col>
      <xdr:colOff>619125</xdr:colOff>
      <xdr:row>35</xdr:row>
      <xdr:rowOff>114300</xdr:rowOff>
    </xdr:to>
    <xdr:sp>
      <xdr:nvSpPr>
        <xdr:cNvPr id="28" name="TextBox 39">
          <a:hlinkClick r:id="rId24"/>
        </xdr:cNvPr>
        <xdr:cNvSpPr txBox="1">
          <a:spLocks noChangeArrowheads="1"/>
        </xdr:cNvSpPr>
      </xdr:nvSpPr>
      <xdr:spPr>
        <a:xfrm>
          <a:off x="2524125" y="5600700"/>
          <a:ext cx="4953000" cy="180975"/>
        </a:xfrm>
        <a:prstGeom prst="rect">
          <a:avLst/>
        </a:prstGeom>
        <a:blipFill>
          <a:blip r:embed="rId9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D_40.  CASO EN QUE X ES UN FACTOR</a:t>
          </a:r>
        </a:p>
      </xdr:txBody>
    </xdr:sp>
    <xdr:clientData/>
  </xdr:twoCellAnchor>
  <xdr:twoCellAnchor>
    <xdr:from>
      <xdr:col>3</xdr:col>
      <xdr:colOff>228600</xdr:colOff>
      <xdr:row>36</xdr:row>
      <xdr:rowOff>152400</xdr:rowOff>
    </xdr:from>
    <xdr:to>
      <xdr:col>9</xdr:col>
      <xdr:colOff>609600</xdr:colOff>
      <xdr:row>37</xdr:row>
      <xdr:rowOff>152400</xdr:rowOff>
    </xdr:to>
    <xdr:sp>
      <xdr:nvSpPr>
        <xdr:cNvPr id="29" name="TextBox 40">
          <a:hlinkClick r:id="rId25"/>
        </xdr:cNvPr>
        <xdr:cNvSpPr txBox="1">
          <a:spLocks noChangeArrowheads="1"/>
        </xdr:cNvSpPr>
      </xdr:nvSpPr>
      <xdr:spPr>
        <a:xfrm>
          <a:off x="2514600" y="5981700"/>
          <a:ext cx="4953000" cy="161925"/>
        </a:xfrm>
        <a:prstGeom prst="rect">
          <a:avLst/>
        </a:prstGeom>
        <a:blipFill>
          <a:blip r:embed="rId9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D_44.  Las Sumas de Cuadrados.
</a:t>
          </a:r>
        </a:p>
      </xdr:txBody>
    </xdr:sp>
    <xdr:clientData/>
  </xdr:twoCellAnchor>
  <xdr:twoCellAnchor>
    <xdr:from>
      <xdr:col>3</xdr:col>
      <xdr:colOff>228600</xdr:colOff>
      <xdr:row>38</xdr:row>
      <xdr:rowOff>9525</xdr:rowOff>
    </xdr:from>
    <xdr:to>
      <xdr:col>9</xdr:col>
      <xdr:colOff>609600</xdr:colOff>
      <xdr:row>39</xdr:row>
      <xdr:rowOff>9525</xdr:rowOff>
    </xdr:to>
    <xdr:sp>
      <xdr:nvSpPr>
        <xdr:cNvPr id="30" name="TextBox 41">
          <a:hlinkClick r:id="rId26"/>
        </xdr:cNvPr>
        <xdr:cNvSpPr txBox="1">
          <a:spLocks noChangeArrowheads="1"/>
        </xdr:cNvSpPr>
      </xdr:nvSpPr>
      <xdr:spPr>
        <a:xfrm>
          <a:off x="2514600" y="6162675"/>
          <a:ext cx="4953000" cy="161925"/>
        </a:xfrm>
        <a:prstGeom prst="rect">
          <a:avLst/>
        </a:prstGeom>
        <a:blipFill>
          <a:blip r:embed="rId9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D_45. Análisis de la Varianza Completo: ANDEVA.
</a:t>
          </a:r>
        </a:p>
      </xdr:txBody>
    </xdr:sp>
    <xdr:clientData/>
  </xdr:twoCellAnchor>
  <xdr:twoCellAnchor>
    <xdr:from>
      <xdr:col>3</xdr:col>
      <xdr:colOff>228600</xdr:colOff>
      <xdr:row>39</xdr:row>
      <xdr:rowOff>28575</xdr:rowOff>
    </xdr:from>
    <xdr:to>
      <xdr:col>9</xdr:col>
      <xdr:colOff>609600</xdr:colOff>
      <xdr:row>40</xdr:row>
      <xdr:rowOff>28575</xdr:rowOff>
    </xdr:to>
    <xdr:sp>
      <xdr:nvSpPr>
        <xdr:cNvPr id="31" name="TextBox 42">
          <a:hlinkClick r:id="rId27"/>
        </xdr:cNvPr>
        <xdr:cNvSpPr txBox="1">
          <a:spLocks noChangeArrowheads="1"/>
        </xdr:cNvSpPr>
      </xdr:nvSpPr>
      <xdr:spPr>
        <a:xfrm>
          <a:off x="2514600" y="6343650"/>
          <a:ext cx="4953000" cy="161925"/>
        </a:xfrm>
        <a:prstGeom prst="rect">
          <a:avLst/>
        </a:prstGeom>
        <a:blipFill>
          <a:blip r:embed="rId9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D_46. Análisis del Efecto Lineal.
</a:t>
          </a:r>
        </a:p>
      </xdr:txBody>
    </xdr:sp>
    <xdr:clientData/>
  </xdr:twoCellAnchor>
  <xdr:twoCellAnchor>
    <xdr:from>
      <xdr:col>3</xdr:col>
      <xdr:colOff>228600</xdr:colOff>
      <xdr:row>40</xdr:row>
      <xdr:rowOff>47625</xdr:rowOff>
    </xdr:from>
    <xdr:to>
      <xdr:col>9</xdr:col>
      <xdr:colOff>609600</xdr:colOff>
      <xdr:row>41</xdr:row>
      <xdr:rowOff>47625</xdr:rowOff>
    </xdr:to>
    <xdr:sp>
      <xdr:nvSpPr>
        <xdr:cNvPr id="32" name="TextBox 43">
          <a:hlinkClick r:id="rId28"/>
        </xdr:cNvPr>
        <xdr:cNvSpPr txBox="1">
          <a:spLocks noChangeArrowheads="1"/>
        </xdr:cNvSpPr>
      </xdr:nvSpPr>
      <xdr:spPr>
        <a:xfrm>
          <a:off x="2514600" y="6524625"/>
          <a:ext cx="4953000" cy="161925"/>
        </a:xfrm>
        <a:prstGeom prst="rect">
          <a:avLst/>
        </a:prstGeom>
        <a:blipFill>
          <a:blip r:embed="rId9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D_47. Análisis del Efecto Cuadrático
</a:t>
          </a:r>
        </a:p>
      </xdr:txBody>
    </xdr:sp>
    <xdr:clientData/>
  </xdr:twoCellAnchor>
  <xdr:twoCellAnchor>
    <xdr:from>
      <xdr:col>3</xdr:col>
      <xdr:colOff>228600</xdr:colOff>
      <xdr:row>41</xdr:row>
      <xdr:rowOff>66675</xdr:rowOff>
    </xdr:from>
    <xdr:to>
      <xdr:col>9</xdr:col>
      <xdr:colOff>609600</xdr:colOff>
      <xdr:row>42</xdr:row>
      <xdr:rowOff>66675</xdr:rowOff>
    </xdr:to>
    <xdr:sp>
      <xdr:nvSpPr>
        <xdr:cNvPr id="33" name="TextBox 44">
          <a:hlinkClick r:id="rId29"/>
        </xdr:cNvPr>
        <xdr:cNvSpPr txBox="1">
          <a:spLocks noChangeArrowheads="1"/>
        </xdr:cNvSpPr>
      </xdr:nvSpPr>
      <xdr:spPr>
        <a:xfrm>
          <a:off x="2514600" y="6705600"/>
          <a:ext cx="4953000" cy="161925"/>
        </a:xfrm>
        <a:prstGeom prst="rect">
          <a:avLst/>
        </a:prstGeom>
        <a:blipFill>
          <a:blip r:embed="rId9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D48. Análisis del Efecto Cúbico.
</a:t>
          </a:r>
        </a:p>
      </xdr:txBody>
    </xdr:sp>
    <xdr:clientData/>
  </xdr:twoCellAnchor>
  <xdr:twoCellAnchor>
    <xdr:from>
      <xdr:col>3</xdr:col>
      <xdr:colOff>219075</xdr:colOff>
      <xdr:row>43</xdr:row>
      <xdr:rowOff>104775</xdr:rowOff>
    </xdr:from>
    <xdr:to>
      <xdr:col>9</xdr:col>
      <xdr:colOff>600075</xdr:colOff>
      <xdr:row>44</xdr:row>
      <xdr:rowOff>104775</xdr:rowOff>
    </xdr:to>
    <xdr:sp>
      <xdr:nvSpPr>
        <xdr:cNvPr id="34" name="TextBox 45">
          <a:hlinkClick r:id="rId30"/>
        </xdr:cNvPr>
        <xdr:cNvSpPr txBox="1">
          <a:spLocks noChangeArrowheads="1"/>
        </xdr:cNvSpPr>
      </xdr:nvSpPr>
      <xdr:spPr>
        <a:xfrm>
          <a:off x="2505075" y="7067550"/>
          <a:ext cx="4953000" cy="161925"/>
        </a:xfrm>
        <a:prstGeom prst="rect">
          <a:avLst/>
        </a:prstGeom>
        <a:blipFill>
          <a:blip r:embed="rId9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D_50. Promedios Significativos Integrados.
</a:t>
          </a:r>
        </a:p>
      </xdr:txBody>
    </xdr:sp>
    <xdr:clientData/>
  </xdr:twoCellAnchor>
  <xdr:twoCellAnchor>
    <xdr:from>
      <xdr:col>3</xdr:col>
      <xdr:colOff>228600</xdr:colOff>
      <xdr:row>45</xdr:row>
      <xdr:rowOff>133350</xdr:rowOff>
    </xdr:from>
    <xdr:to>
      <xdr:col>9</xdr:col>
      <xdr:colOff>609600</xdr:colOff>
      <xdr:row>46</xdr:row>
      <xdr:rowOff>133350</xdr:rowOff>
    </xdr:to>
    <xdr:sp>
      <xdr:nvSpPr>
        <xdr:cNvPr id="35" name="TextBox 46">
          <a:hlinkClick r:id="rId31"/>
        </xdr:cNvPr>
        <xdr:cNvSpPr txBox="1">
          <a:spLocks noChangeArrowheads="1"/>
        </xdr:cNvSpPr>
      </xdr:nvSpPr>
      <xdr:spPr>
        <a:xfrm>
          <a:off x="2514600" y="7419975"/>
          <a:ext cx="4953000" cy="161925"/>
        </a:xfrm>
        <a:prstGeom prst="rect">
          <a:avLst/>
        </a:prstGeom>
        <a:blipFill>
          <a:blip r:embed="rId9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D_52.  La Rutina de Calculo directo en la HE.
</a:t>
          </a:r>
        </a:p>
      </xdr:txBody>
    </xdr:sp>
    <xdr:clientData/>
  </xdr:twoCellAnchor>
  <xdr:twoCellAnchor>
    <xdr:from>
      <xdr:col>3</xdr:col>
      <xdr:colOff>219075</xdr:colOff>
      <xdr:row>42</xdr:row>
      <xdr:rowOff>85725</xdr:rowOff>
    </xdr:from>
    <xdr:to>
      <xdr:col>9</xdr:col>
      <xdr:colOff>628650</xdr:colOff>
      <xdr:row>43</xdr:row>
      <xdr:rowOff>85725</xdr:rowOff>
    </xdr:to>
    <xdr:sp>
      <xdr:nvSpPr>
        <xdr:cNvPr id="36" name="TextBox 47">
          <a:hlinkClick r:id="rId32"/>
        </xdr:cNvPr>
        <xdr:cNvSpPr txBox="1">
          <a:spLocks noChangeArrowheads="1"/>
        </xdr:cNvSpPr>
      </xdr:nvSpPr>
      <xdr:spPr>
        <a:xfrm>
          <a:off x="2505075" y="6886575"/>
          <a:ext cx="4981575" cy="161925"/>
        </a:xfrm>
        <a:prstGeom prst="rect">
          <a:avLst/>
        </a:prstGeom>
        <a:blipFill>
          <a:blip r:embed="rId10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D_49.  Análisis del Efecto Cuártico</a:t>
          </a:r>
        </a:p>
      </xdr:txBody>
    </xdr:sp>
    <xdr:clientData/>
  </xdr:twoCellAnchor>
  <xdr:twoCellAnchor>
    <xdr:from>
      <xdr:col>3</xdr:col>
      <xdr:colOff>219075</xdr:colOff>
      <xdr:row>46</xdr:row>
      <xdr:rowOff>152400</xdr:rowOff>
    </xdr:from>
    <xdr:to>
      <xdr:col>9</xdr:col>
      <xdr:colOff>600075</xdr:colOff>
      <xdr:row>47</xdr:row>
      <xdr:rowOff>152400</xdr:rowOff>
    </xdr:to>
    <xdr:sp>
      <xdr:nvSpPr>
        <xdr:cNvPr id="37" name="TextBox 48">
          <a:hlinkClick r:id="rId33"/>
        </xdr:cNvPr>
        <xdr:cNvSpPr txBox="1">
          <a:spLocks noChangeArrowheads="1"/>
        </xdr:cNvSpPr>
      </xdr:nvSpPr>
      <xdr:spPr>
        <a:xfrm>
          <a:off x="2505075" y="7600950"/>
          <a:ext cx="4953000" cy="161925"/>
        </a:xfrm>
        <a:prstGeom prst="rect">
          <a:avLst/>
        </a:prstGeom>
        <a:blipFill>
          <a:blip r:embed="rId10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D_54. Análisis de las Toneladas por Hectárea.
</a:t>
          </a:r>
        </a:p>
      </xdr:txBody>
    </xdr:sp>
    <xdr:clientData/>
  </xdr:twoCellAnchor>
  <xdr:twoCellAnchor>
    <xdr:from>
      <xdr:col>3</xdr:col>
      <xdr:colOff>219075</xdr:colOff>
      <xdr:row>44</xdr:row>
      <xdr:rowOff>123825</xdr:rowOff>
    </xdr:from>
    <xdr:to>
      <xdr:col>9</xdr:col>
      <xdr:colOff>600075</xdr:colOff>
      <xdr:row>45</xdr:row>
      <xdr:rowOff>114300</xdr:rowOff>
    </xdr:to>
    <xdr:sp>
      <xdr:nvSpPr>
        <xdr:cNvPr id="38" name="TextBox 49">
          <a:hlinkClick r:id="rId34"/>
        </xdr:cNvPr>
        <xdr:cNvSpPr txBox="1">
          <a:spLocks noChangeArrowheads="1"/>
        </xdr:cNvSpPr>
      </xdr:nvSpPr>
      <xdr:spPr>
        <a:xfrm>
          <a:off x="2505075" y="7248525"/>
          <a:ext cx="4953000" cy="152400"/>
        </a:xfrm>
        <a:prstGeom prst="rect">
          <a:avLst/>
        </a:prstGeom>
        <a:blipFill>
          <a:blip r:embed="rId10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D_51.  Representación Gráfica de Promedios Significativos.</a:t>
          </a:r>
        </a:p>
      </xdr:txBody>
    </xdr:sp>
    <xdr:clientData/>
  </xdr:twoCellAnchor>
  <xdr:twoCellAnchor>
    <xdr:from>
      <xdr:col>3</xdr:col>
      <xdr:colOff>219075</xdr:colOff>
      <xdr:row>48</xdr:row>
      <xdr:rowOff>9525</xdr:rowOff>
    </xdr:from>
    <xdr:to>
      <xdr:col>9</xdr:col>
      <xdr:colOff>600075</xdr:colOff>
      <xdr:row>49</xdr:row>
      <xdr:rowOff>9525</xdr:rowOff>
    </xdr:to>
    <xdr:sp>
      <xdr:nvSpPr>
        <xdr:cNvPr id="39" name="TextBox 50">
          <a:hlinkClick r:id="rId35"/>
        </xdr:cNvPr>
        <xdr:cNvSpPr txBox="1">
          <a:spLocks noChangeArrowheads="1"/>
        </xdr:cNvSpPr>
      </xdr:nvSpPr>
      <xdr:spPr>
        <a:xfrm>
          <a:off x="2505075" y="7781925"/>
          <a:ext cx="4953000" cy="161925"/>
        </a:xfrm>
        <a:prstGeom prst="rect">
          <a:avLst/>
        </a:prstGeom>
        <a:blipFill>
          <a:blip r:embed="rId10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D_55. EJEMPLO EN DONDE LA VARIABLE X ESTÁ DADA.
</a:t>
          </a:r>
        </a:p>
      </xdr:txBody>
    </xdr:sp>
    <xdr:clientData/>
  </xdr:twoCellAnchor>
  <xdr:twoCellAnchor>
    <xdr:from>
      <xdr:col>3</xdr:col>
      <xdr:colOff>219075</xdr:colOff>
      <xdr:row>49</xdr:row>
      <xdr:rowOff>28575</xdr:rowOff>
    </xdr:from>
    <xdr:to>
      <xdr:col>9</xdr:col>
      <xdr:colOff>600075</xdr:colOff>
      <xdr:row>50</xdr:row>
      <xdr:rowOff>28575</xdr:rowOff>
    </xdr:to>
    <xdr:sp>
      <xdr:nvSpPr>
        <xdr:cNvPr id="40" name="TextBox 51">
          <a:hlinkClick r:id="rId36"/>
        </xdr:cNvPr>
        <xdr:cNvSpPr txBox="1">
          <a:spLocks noChangeArrowheads="1"/>
        </xdr:cNvSpPr>
      </xdr:nvSpPr>
      <xdr:spPr>
        <a:xfrm>
          <a:off x="2505075" y="7962900"/>
          <a:ext cx="4953000" cy="161925"/>
        </a:xfrm>
        <a:prstGeom prst="rect">
          <a:avLst/>
        </a:prstGeom>
        <a:blipFill>
          <a:blip r:embed="rId10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D_58.  La Correlación.
</a:t>
          </a:r>
        </a:p>
      </xdr:txBody>
    </xdr:sp>
    <xdr:clientData/>
  </xdr:twoCellAnchor>
  <xdr:twoCellAnchor>
    <xdr:from>
      <xdr:col>3</xdr:col>
      <xdr:colOff>219075</xdr:colOff>
      <xdr:row>50</xdr:row>
      <xdr:rowOff>47625</xdr:rowOff>
    </xdr:from>
    <xdr:to>
      <xdr:col>9</xdr:col>
      <xdr:colOff>600075</xdr:colOff>
      <xdr:row>51</xdr:row>
      <xdr:rowOff>47625</xdr:rowOff>
    </xdr:to>
    <xdr:sp>
      <xdr:nvSpPr>
        <xdr:cNvPr id="41" name="TextBox 52">
          <a:hlinkClick r:id="rId37"/>
        </xdr:cNvPr>
        <xdr:cNvSpPr txBox="1">
          <a:spLocks noChangeArrowheads="1"/>
        </xdr:cNvSpPr>
      </xdr:nvSpPr>
      <xdr:spPr>
        <a:xfrm>
          <a:off x="2505075" y="8143875"/>
          <a:ext cx="4953000" cy="161925"/>
        </a:xfrm>
        <a:prstGeom prst="rect">
          <a:avLst/>
        </a:prstGeom>
        <a:blipFill>
          <a:blip r:embed="rId10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D_59. Las Tasas de Crecimiento o Coeficientes de regresión.
</a:t>
          </a:r>
        </a:p>
      </xdr:txBody>
    </xdr:sp>
    <xdr:clientData/>
  </xdr:twoCellAnchor>
  <xdr:twoCellAnchor>
    <xdr:from>
      <xdr:col>3</xdr:col>
      <xdr:colOff>219075</xdr:colOff>
      <xdr:row>51</xdr:row>
      <xdr:rowOff>66675</xdr:rowOff>
    </xdr:from>
    <xdr:to>
      <xdr:col>9</xdr:col>
      <xdr:colOff>600075</xdr:colOff>
      <xdr:row>52</xdr:row>
      <xdr:rowOff>66675</xdr:rowOff>
    </xdr:to>
    <xdr:sp>
      <xdr:nvSpPr>
        <xdr:cNvPr id="42" name="TextBox 53">
          <a:hlinkClick r:id="rId38"/>
        </xdr:cNvPr>
        <xdr:cNvSpPr txBox="1">
          <a:spLocks noChangeArrowheads="1"/>
        </xdr:cNvSpPr>
      </xdr:nvSpPr>
      <xdr:spPr>
        <a:xfrm>
          <a:off x="2505075" y="8324850"/>
          <a:ext cx="4953000" cy="161925"/>
        </a:xfrm>
        <a:prstGeom prst="rect">
          <a:avLst/>
        </a:prstGeom>
        <a:blipFill>
          <a:blip r:embed="rId10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D_60. Las Tasasa Estandarizadas.
</a:t>
          </a:r>
        </a:p>
      </xdr:txBody>
    </xdr:sp>
    <xdr:clientData/>
  </xdr:twoCellAnchor>
  <xdr:twoCellAnchor>
    <xdr:from>
      <xdr:col>0</xdr:col>
      <xdr:colOff>152400</xdr:colOff>
      <xdr:row>1</xdr:row>
      <xdr:rowOff>19050</xdr:rowOff>
    </xdr:from>
    <xdr:to>
      <xdr:col>2</xdr:col>
      <xdr:colOff>485775</xdr:colOff>
      <xdr:row>6</xdr:row>
      <xdr:rowOff>85725</xdr:rowOff>
    </xdr:to>
    <xdr:sp>
      <xdr:nvSpPr>
        <xdr:cNvPr id="43" name="Rectangle 54"/>
        <xdr:cNvSpPr>
          <a:spLocks/>
        </xdr:cNvSpPr>
      </xdr:nvSpPr>
      <xdr:spPr>
        <a:xfrm>
          <a:off x="152400" y="180975"/>
          <a:ext cx="1857375" cy="876300"/>
        </a:xfrm>
        <a:prstGeom prst="roundRect">
          <a:avLst/>
        </a:prstGeom>
        <a:blipFill>
          <a:blip r:embed="rId107"/>
          <a:srcRect/>
          <a:stretch>
            <a:fillRect/>
          </a:stretch>
        </a:blipFill>
        <a:ln w="9525" cmpd="sng">
          <a:solidFill>
            <a:srgbClr val="000000"/>
          </a:solidFill>
          <a:headEnd type="none"/>
          <a:tailEnd type="none"/>
        </a:ln>
      </xdr:spPr>
      <xdr:txBody>
        <a:bodyPr vertOverflow="clip" wrap="square"/>
        <a:p>
          <a:pPr algn="ctr">
            <a:defRPr/>
          </a:pPr>
          <a:r>
            <a:rPr lang="en-US" cap="none" sz="1400" b="0" i="0" u="none" baseline="0">
              <a:solidFill>
                <a:srgbClr val="FFCC00"/>
              </a:solidFill>
            </a:rPr>
            <a:t>Móduo: Experimentos
Sección: Regresión
Lineal</a:t>
          </a:r>
        </a:p>
      </xdr:txBody>
    </xdr:sp>
    <xdr:clientData/>
  </xdr:twoCellAnchor>
  <xdr:twoCellAnchor>
    <xdr:from>
      <xdr:col>3</xdr:col>
      <xdr:colOff>238125</xdr:colOff>
      <xdr:row>17</xdr:row>
      <xdr:rowOff>95250</xdr:rowOff>
    </xdr:from>
    <xdr:to>
      <xdr:col>9</xdr:col>
      <xdr:colOff>619125</xdr:colOff>
      <xdr:row>18</xdr:row>
      <xdr:rowOff>95250</xdr:rowOff>
    </xdr:to>
    <xdr:sp>
      <xdr:nvSpPr>
        <xdr:cNvPr id="44" name="TextBox 55">
          <a:hlinkClick r:id="rId39"/>
        </xdr:cNvPr>
        <xdr:cNvSpPr txBox="1">
          <a:spLocks noChangeArrowheads="1"/>
        </xdr:cNvSpPr>
      </xdr:nvSpPr>
      <xdr:spPr>
        <a:xfrm>
          <a:off x="2524125" y="2847975"/>
          <a:ext cx="4953000" cy="161925"/>
        </a:xfrm>
        <a:prstGeom prst="rect">
          <a:avLst/>
        </a:prstGeom>
        <a:blipFill>
          <a:blip r:embed="rId10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D_17. La Igualdad de la Suma de Cuadrados.
F_07. Diagrama de Dispersión</a:t>
          </a:r>
        </a:p>
      </xdr:txBody>
    </xdr:sp>
    <xdr:clientData/>
  </xdr:twoCellAnchor>
  <xdr:twoCellAnchor>
    <xdr:from>
      <xdr:col>3</xdr:col>
      <xdr:colOff>219075</xdr:colOff>
      <xdr:row>52</xdr:row>
      <xdr:rowOff>85725</xdr:rowOff>
    </xdr:from>
    <xdr:to>
      <xdr:col>9</xdr:col>
      <xdr:colOff>600075</xdr:colOff>
      <xdr:row>53</xdr:row>
      <xdr:rowOff>85725</xdr:rowOff>
    </xdr:to>
    <xdr:sp>
      <xdr:nvSpPr>
        <xdr:cNvPr id="45" name="TextBox 56">
          <a:hlinkClick r:id="rId40"/>
        </xdr:cNvPr>
        <xdr:cNvSpPr txBox="1">
          <a:spLocks noChangeArrowheads="1"/>
        </xdr:cNvSpPr>
      </xdr:nvSpPr>
      <xdr:spPr>
        <a:xfrm>
          <a:off x="2505075" y="8505825"/>
          <a:ext cx="4953000" cy="161925"/>
        </a:xfrm>
        <a:prstGeom prst="rect">
          <a:avLst/>
        </a:prstGeom>
        <a:blipFill>
          <a:blip r:embed="rId10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D_61. Datos para la Representación Gráfica de tasas estandarizadas y Figura.
</a:t>
          </a:r>
        </a:p>
      </xdr:txBody>
    </xdr:sp>
    <xdr:clientData/>
  </xdr:twoCellAnchor>
  <xdr:twoCellAnchor>
    <xdr:from>
      <xdr:col>3</xdr:col>
      <xdr:colOff>228600</xdr:colOff>
      <xdr:row>53</xdr:row>
      <xdr:rowOff>104775</xdr:rowOff>
    </xdr:from>
    <xdr:to>
      <xdr:col>9</xdr:col>
      <xdr:colOff>609600</xdr:colOff>
      <xdr:row>54</xdr:row>
      <xdr:rowOff>104775</xdr:rowOff>
    </xdr:to>
    <xdr:sp>
      <xdr:nvSpPr>
        <xdr:cNvPr id="46" name="TextBox 57">
          <a:hlinkClick r:id="rId41"/>
        </xdr:cNvPr>
        <xdr:cNvSpPr txBox="1">
          <a:spLocks noChangeArrowheads="1"/>
        </xdr:cNvSpPr>
      </xdr:nvSpPr>
      <xdr:spPr>
        <a:xfrm>
          <a:off x="2514600" y="8686800"/>
          <a:ext cx="4953000" cy="161925"/>
        </a:xfrm>
        <a:prstGeom prst="rect">
          <a:avLst/>
        </a:prstGeom>
        <a:blipFill>
          <a:blip r:embed="rId11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D_62.  Indexando las variables con el ídice medio de 1983 a 1987
</a:t>
          </a:r>
        </a:p>
      </xdr:txBody>
    </xdr:sp>
    <xdr:clientData/>
  </xdr:twoCellAnchor>
  <xdr:twoCellAnchor>
    <xdr:from>
      <xdr:col>3</xdr:col>
      <xdr:colOff>219075</xdr:colOff>
      <xdr:row>54</xdr:row>
      <xdr:rowOff>123825</xdr:rowOff>
    </xdr:from>
    <xdr:to>
      <xdr:col>9</xdr:col>
      <xdr:colOff>600075</xdr:colOff>
      <xdr:row>55</xdr:row>
      <xdr:rowOff>123825</xdr:rowOff>
    </xdr:to>
    <xdr:sp>
      <xdr:nvSpPr>
        <xdr:cNvPr id="47" name="TextBox 58">
          <a:hlinkClick r:id="rId42"/>
        </xdr:cNvPr>
        <xdr:cNvSpPr txBox="1">
          <a:spLocks noChangeArrowheads="1"/>
        </xdr:cNvSpPr>
      </xdr:nvSpPr>
      <xdr:spPr>
        <a:xfrm>
          <a:off x="2505075" y="8867775"/>
          <a:ext cx="4953000" cy="161925"/>
        </a:xfrm>
        <a:prstGeom prst="rect">
          <a:avLst/>
        </a:prstGeom>
        <a:blipFill>
          <a:blip r:embed="rId11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CC00"/>
              </a:solidFill>
              <a:latin typeface="Arial"/>
              <a:ea typeface="Arial"/>
              <a:cs typeface="Arial"/>
            </a:rPr>
            <a:t>D_63.  Los modelos para los índices y Gráfico.
ñafico.
</a:t>
          </a:r>
        </a:p>
      </xdr:txBody>
    </xdr:sp>
    <xdr:clientData/>
  </xdr:twoCellAnchor>
  <xdr:twoCellAnchor>
    <xdr:from>
      <xdr:col>0</xdr:col>
      <xdr:colOff>209550</xdr:colOff>
      <xdr:row>8</xdr:row>
      <xdr:rowOff>104775</xdr:rowOff>
    </xdr:from>
    <xdr:to>
      <xdr:col>3</xdr:col>
      <xdr:colOff>9525</xdr:colOff>
      <xdr:row>11</xdr:row>
      <xdr:rowOff>133350</xdr:rowOff>
    </xdr:to>
    <xdr:grpSp>
      <xdr:nvGrpSpPr>
        <xdr:cNvPr id="48" name="Group 63">
          <a:hlinkClick r:id="rId43"/>
        </xdr:cNvPr>
        <xdr:cNvGrpSpPr>
          <a:grpSpLocks/>
        </xdr:cNvGrpSpPr>
      </xdr:nvGrpSpPr>
      <xdr:grpSpPr>
        <a:xfrm>
          <a:off x="209550" y="1400175"/>
          <a:ext cx="2085975" cy="514350"/>
          <a:chOff x="854" y="187"/>
          <a:chExt cx="219" cy="54"/>
        </a:xfrm>
        <a:solidFill>
          <a:srgbClr val="FFFFFF"/>
        </a:solidFill>
      </xdr:grpSpPr>
      <xdr:pic>
        <xdr:nvPicPr>
          <xdr:cNvPr id="49" name="Picture 62"/>
          <xdr:cNvPicPr preferRelativeResize="1">
            <a:picLocks noChangeAspect="1"/>
          </xdr:cNvPicPr>
        </xdr:nvPicPr>
        <xdr:blipFill>
          <a:blip r:embed="rId44"/>
          <a:stretch>
            <a:fillRect/>
          </a:stretch>
        </xdr:blipFill>
        <xdr:spPr>
          <a:xfrm>
            <a:off x="854" y="187"/>
            <a:ext cx="219" cy="54"/>
          </a:xfrm>
          <a:prstGeom prst="rect">
            <a:avLst/>
          </a:prstGeom>
          <a:noFill/>
          <a:ln w="9525" cmpd="sng">
            <a:noFill/>
          </a:ln>
        </xdr:spPr>
      </xdr:pic>
      <xdr:pic>
        <xdr:nvPicPr>
          <xdr:cNvPr id="50" name="Picture 61"/>
          <xdr:cNvPicPr preferRelativeResize="1">
            <a:picLocks noChangeAspect="1"/>
          </xdr:cNvPicPr>
        </xdr:nvPicPr>
        <xdr:blipFill>
          <a:blip r:embed="rId45"/>
          <a:srcRect l="42625" t="95666" r="54124"/>
          <a:stretch>
            <a:fillRect/>
          </a:stretch>
        </xdr:blipFill>
        <xdr:spPr>
          <a:xfrm>
            <a:off x="1036" y="202"/>
            <a:ext cx="26" cy="26"/>
          </a:xfrm>
          <a:prstGeom prst="rect">
            <a:avLst/>
          </a:prstGeom>
          <a:noFill/>
          <a:ln w="1" cmpd="sng">
            <a:noFill/>
          </a:ln>
        </xdr:spPr>
      </xdr:pic>
    </xdr:grpSp>
    <xdr:clientData/>
  </xdr:twoCellAnchor>
  <xdr:twoCellAnchor>
    <xdr:from>
      <xdr:col>0</xdr:col>
      <xdr:colOff>314325</xdr:colOff>
      <xdr:row>12</xdr:row>
      <xdr:rowOff>114300</xdr:rowOff>
    </xdr:from>
    <xdr:to>
      <xdr:col>2</xdr:col>
      <xdr:colOff>647700</xdr:colOff>
      <xdr:row>18</xdr:row>
      <xdr:rowOff>19050</xdr:rowOff>
    </xdr:to>
    <xdr:sp>
      <xdr:nvSpPr>
        <xdr:cNvPr id="51" name="Rectangle 64"/>
        <xdr:cNvSpPr>
          <a:spLocks/>
        </xdr:cNvSpPr>
      </xdr:nvSpPr>
      <xdr:spPr>
        <a:xfrm>
          <a:off x="314325" y="2057400"/>
          <a:ext cx="1857375" cy="876300"/>
        </a:xfrm>
        <a:prstGeom prst="roundRect">
          <a:avLst/>
        </a:prstGeom>
        <a:blipFill>
          <a:blip r:embed="rId112"/>
          <a:srcRect/>
          <a:stretch>
            <a:fillRect/>
          </a:stretch>
        </a:blipFill>
        <a:ln w="9525" cmpd="sng">
          <a:solidFill>
            <a:srgbClr val="000000"/>
          </a:solidFill>
          <a:headEnd type="none"/>
          <a:tailEnd type="none"/>
        </a:ln>
      </xdr:spPr>
      <xdr:txBody>
        <a:bodyPr vertOverflow="clip" wrap="square"/>
        <a:p>
          <a:pPr algn="ctr">
            <a:defRPr/>
          </a:pPr>
          <a:r>
            <a:rPr lang="en-US" cap="none" sz="2200" b="0" i="0" u="none" baseline="0">
              <a:solidFill>
                <a:srgbClr val="FFCC00"/>
              </a:solidFill>
            </a:rPr>
            <a:t>Generadores de Ejemplos </a:t>
          </a:r>
        </a:p>
      </xdr:txBody>
    </xdr:sp>
    <xdr:clientData/>
  </xdr:twoCellAnchor>
  <xdr:twoCellAnchor editAs="oneCell">
    <xdr:from>
      <xdr:col>0</xdr:col>
      <xdr:colOff>228600</xdr:colOff>
      <xdr:row>18</xdr:row>
      <xdr:rowOff>133350</xdr:rowOff>
    </xdr:from>
    <xdr:to>
      <xdr:col>3</xdr:col>
      <xdr:colOff>28575</xdr:colOff>
      <xdr:row>23</xdr:row>
      <xdr:rowOff>28575</xdr:rowOff>
    </xdr:to>
    <xdr:pic>
      <xdr:nvPicPr>
        <xdr:cNvPr id="52" name="Picture 65">
          <a:hlinkClick r:id="rId48"/>
        </xdr:cNvPr>
        <xdr:cNvPicPr preferRelativeResize="1">
          <a:picLocks noChangeAspect="1"/>
        </xdr:cNvPicPr>
      </xdr:nvPicPr>
      <xdr:blipFill>
        <a:blip r:embed="rId46"/>
        <a:stretch>
          <a:fillRect/>
        </a:stretch>
      </xdr:blipFill>
      <xdr:spPr>
        <a:xfrm>
          <a:off x="228600" y="3048000"/>
          <a:ext cx="2085975" cy="704850"/>
        </a:xfrm>
        <a:prstGeom prst="rect">
          <a:avLst/>
        </a:prstGeom>
        <a:noFill/>
        <a:ln w="9525" cmpd="sng">
          <a:noFill/>
        </a:ln>
      </xdr:spPr>
    </xdr:pic>
    <xdr:clientData/>
  </xdr:twoCellAnchor>
  <xdr:twoCellAnchor editAs="oneCell">
    <xdr:from>
      <xdr:col>0</xdr:col>
      <xdr:colOff>228600</xdr:colOff>
      <xdr:row>23</xdr:row>
      <xdr:rowOff>95250</xdr:rowOff>
    </xdr:from>
    <xdr:to>
      <xdr:col>3</xdr:col>
      <xdr:colOff>28575</xdr:colOff>
      <xdr:row>27</xdr:row>
      <xdr:rowOff>152400</xdr:rowOff>
    </xdr:to>
    <xdr:pic>
      <xdr:nvPicPr>
        <xdr:cNvPr id="53" name="Picture 66">
          <a:hlinkClick r:id="rId51"/>
        </xdr:cNvPr>
        <xdr:cNvPicPr preferRelativeResize="1">
          <a:picLocks noChangeAspect="1"/>
        </xdr:cNvPicPr>
      </xdr:nvPicPr>
      <xdr:blipFill>
        <a:blip r:embed="rId49"/>
        <a:stretch>
          <a:fillRect/>
        </a:stretch>
      </xdr:blipFill>
      <xdr:spPr>
        <a:xfrm>
          <a:off x="228600" y="3819525"/>
          <a:ext cx="2085975" cy="704850"/>
        </a:xfrm>
        <a:prstGeom prst="rect">
          <a:avLst/>
        </a:prstGeom>
        <a:noFill/>
        <a:ln w="9525" cmpd="sng">
          <a:noFill/>
        </a:ln>
      </xdr:spPr>
    </xdr:pic>
    <xdr:clientData/>
  </xdr:twoCellAnchor>
  <xdr:twoCellAnchor editAs="oneCell">
    <xdr:from>
      <xdr:col>0</xdr:col>
      <xdr:colOff>228600</xdr:colOff>
      <xdr:row>28</xdr:row>
      <xdr:rowOff>57150</xdr:rowOff>
    </xdr:from>
    <xdr:to>
      <xdr:col>3</xdr:col>
      <xdr:colOff>28575</xdr:colOff>
      <xdr:row>32</xdr:row>
      <xdr:rowOff>114300</xdr:rowOff>
    </xdr:to>
    <xdr:pic>
      <xdr:nvPicPr>
        <xdr:cNvPr id="54" name="Picture 67">
          <a:hlinkClick r:id="rId54"/>
        </xdr:cNvPr>
        <xdr:cNvPicPr preferRelativeResize="1">
          <a:picLocks noChangeAspect="1"/>
        </xdr:cNvPicPr>
      </xdr:nvPicPr>
      <xdr:blipFill>
        <a:blip r:embed="rId52"/>
        <a:stretch>
          <a:fillRect/>
        </a:stretch>
      </xdr:blipFill>
      <xdr:spPr>
        <a:xfrm>
          <a:off x="228600" y="4591050"/>
          <a:ext cx="2085975" cy="704850"/>
        </a:xfrm>
        <a:prstGeom prst="rect">
          <a:avLst/>
        </a:prstGeom>
        <a:noFill/>
        <a:ln w="9525" cmpd="sng">
          <a:noFill/>
        </a:ln>
      </xdr:spPr>
    </xdr:pic>
    <xdr:clientData/>
  </xdr:twoCellAnchor>
  <xdr:twoCellAnchor editAs="oneCell">
    <xdr:from>
      <xdr:col>0</xdr:col>
      <xdr:colOff>247650</xdr:colOff>
      <xdr:row>33</xdr:row>
      <xdr:rowOff>19050</xdr:rowOff>
    </xdr:from>
    <xdr:to>
      <xdr:col>3</xdr:col>
      <xdr:colOff>47625</xdr:colOff>
      <xdr:row>37</xdr:row>
      <xdr:rowOff>76200</xdr:rowOff>
    </xdr:to>
    <xdr:pic>
      <xdr:nvPicPr>
        <xdr:cNvPr id="55" name="Picture 68">
          <a:hlinkClick r:id="rId57"/>
        </xdr:cNvPr>
        <xdr:cNvPicPr preferRelativeResize="1">
          <a:picLocks noChangeAspect="1"/>
        </xdr:cNvPicPr>
      </xdr:nvPicPr>
      <xdr:blipFill>
        <a:blip r:embed="rId55"/>
        <a:stretch>
          <a:fillRect/>
        </a:stretch>
      </xdr:blipFill>
      <xdr:spPr>
        <a:xfrm>
          <a:off x="247650" y="5362575"/>
          <a:ext cx="2085975" cy="704850"/>
        </a:xfrm>
        <a:prstGeom prst="rect">
          <a:avLst/>
        </a:prstGeom>
        <a:noFill/>
        <a:ln w="9525" cmpd="sng">
          <a:noFill/>
        </a:ln>
      </xdr:spPr>
    </xdr:pic>
    <xdr:clientData/>
  </xdr:twoCellAnchor>
  <xdr:twoCellAnchor>
    <xdr:from>
      <xdr:col>0</xdr:col>
      <xdr:colOff>323850</xdr:colOff>
      <xdr:row>37</xdr:row>
      <xdr:rowOff>152400</xdr:rowOff>
    </xdr:from>
    <xdr:to>
      <xdr:col>2</xdr:col>
      <xdr:colOff>657225</xdr:colOff>
      <xdr:row>43</xdr:row>
      <xdr:rowOff>57150</xdr:rowOff>
    </xdr:to>
    <xdr:sp>
      <xdr:nvSpPr>
        <xdr:cNvPr id="56" name="Rectangle 69"/>
        <xdr:cNvSpPr>
          <a:spLocks/>
        </xdr:cNvSpPr>
      </xdr:nvSpPr>
      <xdr:spPr>
        <a:xfrm>
          <a:off x="323850" y="6143625"/>
          <a:ext cx="1857375" cy="876300"/>
        </a:xfrm>
        <a:prstGeom prst="roundRect">
          <a:avLst/>
        </a:prstGeom>
        <a:blipFill>
          <a:blip r:embed="rId113"/>
          <a:srcRect/>
          <a:stretch>
            <a:fillRect/>
          </a:stretch>
        </a:blipFill>
        <a:ln w="9525" cmpd="sng">
          <a:solidFill>
            <a:srgbClr val="000000"/>
          </a:solidFill>
          <a:headEnd type="none"/>
          <a:tailEnd type="none"/>
        </a:ln>
      </xdr:spPr>
      <xdr:txBody>
        <a:bodyPr vertOverflow="clip" wrap="square"/>
        <a:p>
          <a:pPr algn="ctr">
            <a:defRPr/>
          </a:pPr>
          <a:r>
            <a:rPr lang="en-US" cap="none" sz="2200" b="0" i="0" u="none" baseline="0">
              <a:solidFill>
                <a:srgbClr val="FFCC00"/>
              </a:solidFill>
            </a:rPr>
            <a:t>Tablas
Estadísticas </a:t>
          </a:r>
        </a:p>
      </xdr:txBody>
    </xdr:sp>
    <xdr:clientData/>
  </xdr:twoCellAnchor>
  <xdr:twoCellAnchor editAs="oneCell">
    <xdr:from>
      <xdr:col>0</xdr:col>
      <xdr:colOff>238125</xdr:colOff>
      <xdr:row>43</xdr:row>
      <xdr:rowOff>114300</xdr:rowOff>
    </xdr:from>
    <xdr:to>
      <xdr:col>3</xdr:col>
      <xdr:colOff>38100</xdr:colOff>
      <xdr:row>48</xdr:row>
      <xdr:rowOff>9525</xdr:rowOff>
    </xdr:to>
    <xdr:pic>
      <xdr:nvPicPr>
        <xdr:cNvPr id="57" name="Picture 71">
          <a:hlinkClick r:id="rId60"/>
        </xdr:cNvPr>
        <xdr:cNvPicPr preferRelativeResize="1">
          <a:picLocks noChangeAspect="1"/>
        </xdr:cNvPicPr>
      </xdr:nvPicPr>
      <xdr:blipFill>
        <a:blip r:embed="rId58"/>
        <a:stretch>
          <a:fillRect/>
        </a:stretch>
      </xdr:blipFill>
      <xdr:spPr>
        <a:xfrm>
          <a:off x="238125" y="7077075"/>
          <a:ext cx="2085975" cy="704850"/>
        </a:xfrm>
        <a:prstGeom prst="rect">
          <a:avLst/>
        </a:prstGeom>
        <a:noFill/>
        <a:ln w="9525" cmpd="sng">
          <a:noFill/>
        </a:ln>
      </xdr:spPr>
    </xdr:pic>
    <xdr:clientData/>
  </xdr:twoCellAnchor>
  <xdr:twoCellAnchor editAs="oneCell">
    <xdr:from>
      <xdr:col>0</xdr:col>
      <xdr:colOff>238125</xdr:colOff>
      <xdr:row>48</xdr:row>
      <xdr:rowOff>19050</xdr:rowOff>
    </xdr:from>
    <xdr:to>
      <xdr:col>3</xdr:col>
      <xdr:colOff>38100</xdr:colOff>
      <xdr:row>52</xdr:row>
      <xdr:rowOff>76200</xdr:rowOff>
    </xdr:to>
    <xdr:pic>
      <xdr:nvPicPr>
        <xdr:cNvPr id="58" name="Picture 72">
          <a:hlinkClick r:id="rId63"/>
        </xdr:cNvPr>
        <xdr:cNvPicPr preferRelativeResize="1">
          <a:picLocks noChangeAspect="1"/>
        </xdr:cNvPicPr>
      </xdr:nvPicPr>
      <xdr:blipFill>
        <a:blip r:embed="rId61"/>
        <a:stretch>
          <a:fillRect/>
        </a:stretch>
      </xdr:blipFill>
      <xdr:spPr>
        <a:xfrm>
          <a:off x="238125" y="7791450"/>
          <a:ext cx="2085975" cy="704850"/>
        </a:xfrm>
        <a:prstGeom prst="rect">
          <a:avLst/>
        </a:prstGeom>
        <a:noFill/>
        <a:ln w="9525" cmpd="sng">
          <a:noFill/>
        </a:ln>
      </xdr:spPr>
    </xdr:pic>
    <xdr:clientData/>
  </xdr:twoCellAnchor>
  <xdr:twoCellAnchor editAs="oneCell">
    <xdr:from>
      <xdr:col>0</xdr:col>
      <xdr:colOff>219075</xdr:colOff>
      <xdr:row>52</xdr:row>
      <xdr:rowOff>85725</xdr:rowOff>
    </xdr:from>
    <xdr:to>
      <xdr:col>3</xdr:col>
      <xdr:colOff>28575</xdr:colOff>
      <xdr:row>56</xdr:row>
      <xdr:rowOff>152400</xdr:rowOff>
    </xdr:to>
    <xdr:pic>
      <xdr:nvPicPr>
        <xdr:cNvPr id="59" name="Picture 73">
          <a:hlinkClick r:id="rId66"/>
        </xdr:cNvPr>
        <xdr:cNvPicPr preferRelativeResize="1">
          <a:picLocks noChangeAspect="1"/>
        </xdr:cNvPicPr>
      </xdr:nvPicPr>
      <xdr:blipFill>
        <a:blip r:embed="rId64"/>
        <a:stretch>
          <a:fillRect/>
        </a:stretch>
      </xdr:blipFill>
      <xdr:spPr>
        <a:xfrm>
          <a:off x="219075" y="8505825"/>
          <a:ext cx="2095500" cy="714375"/>
        </a:xfrm>
        <a:prstGeom prst="rect">
          <a:avLst/>
        </a:prstGeom>
        <a:noFill/>
        <a:ln w="9525" cmpd="sng">
          <a:noFill/>
        </a:ln>
      </xdr:spPr>
    </xdr:pic>
    <xdr:clientData/>
  </xdr:twoCellAnchor>
  <xdr:twoCellAnchor>
    <xdr:from>
      <xdr:col>0</xdr:col>
      <xdr:colOff>200025</xdr:colOff>
      <xdr:row>59</xdr:row>
      <xdr:rowOff>9525</xdr:rowOff>
    </xdr:from>
    <xdr:to>
      <xdr:col>9</xdr:col>
      <xdr:colOff>666750</xdr:colOff>
      <xdr:row>82</xdr:row>
      <xdr:rowOff>76200</xdr:rowOff>
    </xdr:to>
    <xdr:sp>
      <xdr:nvSpPr>
        <xdr:cNvPr id="60" name="TextBox 75"/>
        <xdr:cNvSpPr txBox="1">
          <a:spLocks noChangeArrowheads="1"/>
        </xdr:cNvSpPr>
      </xdr:nvSpPr>
      <xdr:spPr>
        <a:xfrm>
          <a:off x="200025" y="9563100"/>
          <a:ext cx="7324725" cy="3790950"/>
        </a:xfrm>
        <a:prstGeom prst="rect">
          <a:avLst/>
        </a:prstGeom>
        <a:solidFill>
          <a:srgbClr val="FFFF99"/>
        </a:solidFill>
        <a:ln w="9525" cmpd="sng">
          <a:solidFill>
            <a:srgbClr val="FF00FF"/>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
Ficha de catalogación.
310
P816p  Pontigo Alvarado, Manuel
             Curso programado de estadística asistido con excel y power point.
             1a. ed. Cartago  : M. Pontigo A.,  2007
250 p.
ISBN  978-9968-9634-3-5
  1. REGRESIÓN LINEAL;  2 ESTADÍSTICA NO PARAMÉTRICA; 3 MUESTREO; 4 ANDEVA; 5 DISTRIBUCIONES.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978-9968-9634-3-5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cdr:x>
      <cdr:y>0.18775</cdr:y>
    </cdr:from>
    <cdr:to>
      <cdr:x>0.894</cdr:x>
      <cdr:y>0.772</cdr:y>
    </cdr:to>
    <cdr:sp>
      <cdr:nvSpPr>
        <cdr:cNvPr id="1" name="AutoShape 5"/>
        <cdr:cNvSpPr>
          <a:spLocks/>
        </cdr:cNvSpPr>
      </cdr:nvSpPr>
      <cdr:spPr>
        <a:xfrm>
          <a:off x="866775" y="504825"/>
          <a:ext cx="2524125" cy="1571625"/>
        </a:xfrm>
        <a:custGeom>
          <a:pathLst>
            <a:path h="1485900" w="2211387">
              <a:moveTo>
                <a:pt x="0" y="0"/>
              </a:moveTo>
              <a:cubicBezTo>
                <a:pt x="92075" y="25400"/>
                <a:pt x="184150" y="50800"/>
                <a:pt x="400050" y="123825"/>
              </a:cubicBezTo>
              <a:cubicBezTo>
                <a:pt x="615950" y="196850"/>
                <a:pt x="1039812" y="334962"/>
                <a:pt x="1295400" y="438150"/>
              </a:cubicBezTo>
              <a:cubicBezTo>
                <a:pt x="1550988" y="541338"/>
                <a:pt x="1797050" y="639763"/>
                <a:pt x="1933575" y="742950"/>
              </a:cubicBezTo>
              <a:cubicBezTo>
                <a:pt x="2070100" y="846137"/>
                <a:pt x="2211387" y="955675"/>
                <a:pt x="2114550" y="1057275"/>
              </a:cubicBezTo>
              <a:cubicBezTo>
                <a:pt x="2017713" y="1158875"/>
                <a:pt x="1655762" y="1281113"/>
                <a:pt x="1352550" y="1352550"/>
              </a:cubicBezTo>
              <a:cubicBezTo>
                <a:pt x="1049338" y="1423987"/>
                <a:pt x="672306" y="1454943"/>
                <a:pt x="295275" y="1485900"/>
              </a:cubicBezTo>
            </a:path>
          </a:pathLst>
        </a:cu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cdr:x>
      <cdr:y>0.148</cdr:y>
    </cdr:from>
    <cdr:to>
      <cdr:x>0.865</cdr:x>
      <cdr:y>0.79375</cdr:y>
    </cdr:to>
    <cdr:sp>
      <cdr:nvSpPr>
        <cdr:cNvPr id="1" name="AutoShape 8"/>
        <cdr:cNvSpPr>
          <a:spLocks/>
        </cdr:cNvSpPr>
      </cdr:nvSpPr>
      <cdr:spPr>
        <a:xfrm>
          <a:off x="1657350" y="438150"/>
          <a:ext cx="1885950" cy="1914525"/>
        </a:xfrm>
        <a:custGeom>
          <a:pathLst>
            <a:path h="1800225" w="2239962">
              <a:moveTo>
                <a:pt x="450850" y="0"/>
              </a:moveTo>
              <a:cubicBezTo>
                <a:pt x="380206" y="33337"/>
                <a:pt x="309562" y="66675"/>
                <a:pt x="593725" y="152400"/>
              </a:cubicBezTo>
              <a:cubicBezTo>
                <a:pt x="877888" y="238125"/>
                <a:pt x="2071688" y="400050"/>
                <a:pt x="2155825" y="514350"/>
              </a:cubicBezTo>
              <a:cubicBezTo>
                <a:pt x="2239962" y="628650"/>
                <a:pt x="1443038" y="715963"/>
                <a:pt x="1098550" y="838200"/>
              </a:cubicBezTo>
              <a:cubicBezTo>
                <a:pt x="754062" y="960437"/>
                <a:pt x="0" y="1117600"/>
                <a:pt x="88900" y="1247775"/>
              </a:cubicBezTo>
              <a:cubicBezTo>
                <a:pt x="177800" y="1377950"/>
                <a:pt x="1317625" y="1527175"/>
                <a:pt x="1631950" y="1619250"/>
              </a:cubicBezTo>
              <a:cubicBezTo>
                <a:pt x="1946275" y="1711325"/>
                <a:pt x="1917700" y="1770063"/>
                <a:pt x="1974850" y="1800225"/>
              </a:cubicBezTo>
            </a:path>
          </a:pathLst>
        </a:cu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0.394</cdr:x>
      <cdr:y>0.18125</cdr:y>
    </cdr:from>
    <cdr:to>
      <cdr:x>0.829</cdr:x>
      <cdr:y>0.7295</cdr:y>
    </cdr:to>
    <cdr:sp>
      <cdr:nvSpPr>
        <cdr:cNvPr id="1" name="AutoShape 5"/>
        <cdr:cNvSpPr>
          <a:spLocks/>
        </cdr:cNvSpPr>
      </cdr:nvSpPr>
      <cdr:spPr>
        <a:xfrm>
          <a:off x="1562100" y="533400"/>
          <a:ext cx="1733550" cy="1638300"/>
        </a:xfrm>
        <a:custGeom>
          <a:pathLst>
            <a:path h="170" w="170">
              <a:moveTo>
                <a:pt x="0" y="0"/>
              </a:moveTo>
              <a:cubicBezTo>
                <a:pt x="4" y="5"/>
                <a:pt x="8" y="10"/>
                <a:pt x="15" y="19"/>
              </a:cubicBezTo>
              <a:cubicBezTo>
                <a:pt x="22" y="28"/>
                <a:pt x="32" y="45"/>
                <a:pt x="40" y="57"/>
              </a:cubicBezTo>
              <a:cubicBezTo>
                <a:pt x="48" y="69"/>
                <a:pt x="53" y="81"/>
                <a:pt x="63" y="93"/>
              </a:cubicBezTo>
              <a:cubicBezTo>
                <a:pt x="73" y="105"/>
                <a:pt x="80" y="118"/>
                <a:pt x="98" y="131"/>
              </a:cubicBezTo>
              <a:cubicBezTo>
                <a:pt x="116" y="144"/>
                <a:pt x="158" y="164"/>
                <a:pt x="170" y="170"/>
              </a:cubicBez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0.33125</cdr:x>
      <cdr:y>0.156</cdr:y>
    </cdr:from>
    <cdr:to>
      <cdr:x>0.90075</cdr:x>
      <cdr:y>0.77675</cdr:y>
    </cdr:to>
    <cdr:sp>
      <cdr:nvSpPr>
        <cdr:cNvPr id="1" name="AutoShape 6"/>
        <cdr:cNvSpPr>
          <a:spLocks/>
        </cdr:cNvSpPr>
      </cdr:nvSpPr>
      <cdr:spPr>
        <a:xfrm>
          <a:off x="1476375" y="447675"/>
          <a:ext cx="2552700" cy="1800225"/>
        </a:xfrm>
        <a:custGeom>
          <a:pathLst>
            <a:path h="1809750" w="2393950">
              <a:moveTo>
                <a:pt x="1174750" y="0"/>
              </a:moveTo>
              <a:cubicBezTo>
                <a:pt x="1314450" y="36512"/>
                <a:pt x="1454150" y="73025"/>
                <a:pt x="1289050" y="161925"/>
              </a:cubicBezTo>
              <a:cubicBezTo>
                <a:pt x="1123950" y="250825"/>
                <a:pt x="0" y="409575"/>
                <a:pt x="184150" y="533400"/>
              </a:cubicBezTo>
              <a:cubicBezTo>
                <a:pt x="368300" y="657225"/>
                <a:pt x="2393950" y="784225"/>
                <a:pt x="2393950" y="904875"/>
              </a:cubicBezTo>
              <a:cubicBezTo>
                <a:pt x="2393950" y="1025525"/>
                <a:pt x="366713" y="1136650"/>
                <a:pt x="184150" y="1257300"/>
              </a:cubicBezTo>
              <a:cubicBezTo>
                <a:pt x="1587" y="1377950"/>
                <a:pt x="1230313" y="1536700"/>
                <a:pt x="1298575" y="1628775"/>
              </a:cubicBezTo>
              <a:cubicBezTo>
                <a:pt x="1366837" y="1720850"/>
                <a:pt x="711200" y="1779588"/>
                <a:pt x="593725" y="1809750"/>
              </a:cubicBezTo>
            </a:path>
          </a:pathLst>
        </a:cu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0.43175</cdr:x>
      <cdr:y>0.17075</cdr:y>
    </cdr:from>
    <cdr:to>
      <cdr:x>0.86325</cdr:x>
      <cdr:y>0.7985</cdr:y>
    </cdr:to>
    <cdr:sp>
      <cdr:nvSpPr>
        <cdr:cNvPr id="1" name="AutoShape 6"/>
        <cdr:cNvSpPr>
          <a:spLocks/>
        </cdr:cNvSpPr>
      </cdr:nvSpPr>
      <cdr:spPr>
        <a:xfrm>
          <a:off x="1885950" y="495300"/>
          <a:ext cx="1885950" cy="1847850"/>
        </a:xfrm>
        <a:custGeom>
          <a:pathLst>
            <a:path h="1657350" w="1422400">
              <a:moveTo>
                <a:pt x="0" y="0"/>
              </a:moveTo>
              <a:cubicBezTo>
                <a:pt x="19843" y="30162"/>
                <a:pt x="39687" y="60325"/>
                <a:pt x="66675" y="142875"/>
              </a:cubicBezTo>
              <a:cubicBezTo>
                <a:pt x="93663" y="225425"/>
                <a:pt x="87312" y="381000"/>
                <a:pt x="161925" y="495300"/>
              </a:cubicBezTo>
              <a:cubicBezTo>
                <a:pt x="236538" y="609600"/>
                <a:pt x="427038" y="719137"/>
                <a:pt x="514350" y="828675"/>
              </a:cubicBezTo>
              <a:cubicBezTo>
                <a:pt x="601662" y="938213"/>
                <a:pt x="552450" y="1039813"/>
                <a:pt x="685800" y="1152525"/>
              </a:cubicBezTo>
              <a:cubicBezTo>
                <a:pt x="819150" y="1265237"/>
                <a:pt x="1206500" y="1420813"/>
                <a:pt x="1314450" y="1504950"/>
              </a:cubicBezTo>
              <a:cubicBezTo>
                <a:pt x="1422400" y="1589087"/>
                <a:pt x="1330325" y="1631950"/>
                <a:pt x="1333500" y="1657350"/>
              </a:cubicBez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cdr:x>
      <cdr:y>0.18775</cdr:y>
    </cdr:from>
    <cdr:to>
      <cdr:x>0.831</cdr:x>
      <cdr:y>0.8115</cdr:y>
    </cdr:to>
    <cdr:sp>
      <cdr:nvSpPr>
        <cdr:cNvPr id="1" name="AutoShape 1"/>
        <cdr:cNvSpPr>
          <a:spLocks/>
        </cdr:cNvSpPr>
      </cdr:nvSpPr>
      <cdr:spPr>
        <a:xfrm>
          <a:off x="1524000" y="600075"/>
          <a:ext cx="2733675" cy="2000250"/>
        </a:xfrm>
        <a:custGeom>
          <a:pathLst>
            <a:path h="147" w="192">
              <a:moveTo>
                <a:pt x="29" y="0"/>
              </a:moveTo>
              <a:cubicBezTo>
                <a:pt x="73" y="10"/>
                <a:pt x="117" y="21"/>
                <a:pt x="144" y="32"/>
              </a:cubicBezTo>
              <a:cubicBezTo>
                <a:pt x="171" y="43"/>
                <a:pt x="186" y="54"/>
                <a:pt x="189" y="65"/>
              </a:cubicBezTo>
              <a:cubicBezTo>
                <a:pt x="192" y="76"/>
                <a:pt x="183" y="90"/>
                <a:pt x="162" y="101"/>
              </a:cubicBezTo>
              <a:cubicBezTo>
                <a:pt x="141" y="112"/>
                <a:pt x="92" y="125"/>
                <a:pt x="65" y="133"/>
              </a:cubicBezTo>
              <a:cubicBezTo>
                <a:pt x="38" y="141"/>
                <a:pt x="19" y="144"/>
                <a:pt x="0" y="147"/>
              </a:cubicBezTo>
            </a:path>
          </a:pathLst>
        </a:custGeom>
        <a:noFill/>
        <a:ln w="9525" cmpd="sng">
          <a:solidFill>
            <a:srgbClr val="0000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0.0925</cdr:x>
      <cdr:y>0.4935</cdr:y>
    </cdr:from>
    <cdr:to>
      <cdr:x>0.8215</cdr:x>
      <cdr:y>0.4935</cdr:y>
    </cdr:to>
    <cdr:sp>
      <cdr:nvSpPr>
        <cdr:cNvPr id="2" name="Line 2"/>
        <cdr:cNvSpPr>
          <a:spLocks/>
        </cdr:cNvSpPr>
      </cdr:nvSpPr>
      <cdr:spPr>
        <a:xfrm flipH="1" flipV="1">
          <a:off x="466725" y="1571625"/>
          <a:ext cx="37338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0.831</cdr:x>
      <cdr:y>0.46075</cdr:y>
    </cdr:from>
    <cdr:to>
      <cdr:x>0.9875</cdr:x>
      <cdr:y>0.52625</cdr:y>
    </cdr:to>
    <cdr:sp>
      <cdr:nvSpPr>
        <cdr:cNvPr id="3" name="TextBox 3"/>
        <cdr:cNvSpPr txBox="1">
          <a:spLocks noChangeArrowheads="1"/>
        </cdr:cNvSpPr>
      </cdr:nvSpPr>
      <cdr:spPr>
        <a:xfrm>
          <a:off x="4257675" y="1466850"/>
          <a:ext cx="800100" cy="2095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00" b="1" i="0" u="none" baseline="0">
              <a:latin typeface="Arial"/>
              <a:ea typeface="Arial"/>
              <a:cs typeface="Arial"/>
            </a:rPr>
            <a:t>Yo = 20,683</a:t>
          </a:r>
        </a:p>
      </cdr:txBody>
    </cdr:sp>
  </cdr:relSizeAnchor>
  <cdr:relSizeAnchor xmlns:cdr="http://schemas.openxmlformats.org/drawingml/2006/chartDrawing">
    <cdr:from>
      <cdr:x>0.11025</cdr:x>
      <cdr:y>0.396</cdr:y>
    </cdr:from>
    <cdr:to>
      <cdr:x>0.298</cdr:x>
      <cdr:y>0.46075</cdr:y>
    </cdr:to>
    <cdr:sp>
      <cdr:nvSpPr>
        <cdr:cNvPr id="4" name="TextBox 4"/>
        <cdr:cNvSpPr txBox="1">
          <a:spLocks noChangeArrowheads="1"/>
        </cdr:cNvSpPr>
      </cdr:nvSpPr>
      <cdr:spPr>
        <a:xfrm>
          <a:off x="561975" y="1266825"/>
          <a:ext cx="962025" cy="2095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00" b="1" i="0" u="none" baseline="0">
              <a:latin typeface="Arial"/>
              <a:ea typeface="Arial"/>
              <a:cs typeface="Arial"/>
            </a:rPr>
            <a:t>Xo = 73 cm</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723900</xdr:colOff>
      <xdr:row>96</xdr:row>
      <xdr:rowOff>9525</xdr:rowOff>
    </xdr:from>
    <xdr:to>
      <xdr:col>6</xdr:col>
      <xdr:colOff>28575</xdr:colOff>
      <xdr:row>99</xdr:row>
      <xdr:rowOff>114300</xdr:rowOff>
    </xdr:to>
    <xdr:sp>
      <xdr:nvSpPr>
        <xdr:cNvPr id="1" name="TextBox 1"/>
        <xdr:cNvSpPr txBox="1">
          <a:spLocks noChangeArrowheads="1"/>
        </xdr:cNvSpPr>
      </xdr:nvSpPr>
      <xdr:spPr>
        <a:xfrm>
          <a:off x="3876675" y="15573375"/>
          <a:ext cx="1590675" cy="609600"/>
        </a:xfrm>
        <a:prstGeom prst="rect">
          <a:avLst/>
        </a:prstGeom>
        <a:solidFill>
          <a:srgbClr val="FFCC00"/>
        </a:solidFill>
        <a:ln w="9525"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Copie los datos del cuadro anterior y clasifíquelos por Estatura Pader y Estatura Hijos</a:t>
          </a:r>
        </a:p>
      </xdr:txBody>
    </xdr:sp>
    <xdr:clientData/>
  </xdr:twoCellAnchor>
  <xdr:twoCellAnchor>
    <xdr:from>
      <xdr:col>3</xdr:col>
      <xdr:colOff>609600</xdr:colOff>
      <xdr:row>8</xdr:row>
      <xdr:rowOff>19050</xdr:rowOff>
    </xdr:from>
    <xdr:to>
      <xdr:col>5</xdr:col>
      <xdr:colOff>685800</xdr:colOff>
      <xdr:row>11</xdr:row>
      <xdr:rowOff>133350</xdr:rowOff>
    </xdr:to>
    <xdr:sp>
      <xdr:nvSpPr>
        <xdr:cNvPr id="2" name="TextBox 2"/>
        <xdr:cNvSpPr txBox="1">
          <a:spLocks noChangeArrowheads="1"/>
        </xdr:cNvSpPr>
      </xdr:nvSpPr>
      <xdr:spPr>
        <a:xfrm>
          <a:off x="3762375" y="1323975"/>
          <a:ext cx="1600200" cy="609600"/>
        </a:xfrm>
        <a:prstGeom prst="rect">
          <a:avLst/>
        </a:prstGeom>
        <a:solidFill>
          <a:srgbClr val="FFCC00"/>
        </a:solidFill>
        <a:ln w="9525"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Traiga los datos desde el Generado y active:
</a:t>
          </a:r>
          <a:r>
            <a:rPr lang="en-US" cap="none" sz="800" b="1" i="1" u="none" baseline="0">
              <a:solidFill>
                <a:srgbClr val="FF0000"/>
              </a:solidFill>
              <a:latin typeface="Arial"/>
              <a:ea typeface="Arial"/>
              <a:cs typeface="Arial"/>
            </a:rPr>
            <a:t>Edición / Pegado especial / Valores</a:t>
          </a:r>
        </a:p>
      </xdr:txBody>
    </xdr:sp>
    <xdr:clientData/>
  </xdr:twoCellAnchor>
  <xdr:twoCellAnchor editAs="oneCell">
    <xdr:from>
      <xdr:col>4</xdr:col>
      <xdr:colOff>38100</xdr:colOff>
      <xdr:row>100</xdr:row>
      <xdr:rowOff>85725</xdr:rowOff>
    </xdr:from>
    <xdr:to>
      <xdr:col>7</xdr:col>
      <xdr:colOff>333375</xdr:colOff>
      <xdr:row>116</xdr:row>
      <xdr:rowOff>76200</xdr:rowOff>
    </xdr:to>
    <xdr:pic>
      <xdr:nvPicPr>
        <xdr:cNvPr id="3" name="Picture 3"/>
        <xdr:cNvPicPr preferRelativeResize="1">
          <a:picLocks noChangeAspect="1"/>
        </xdr:cNvPicPr>
      </xdr:nvPicPr>
      <xdr:blipFill>
        <a:blip r:embed="rId1"/>
        <a:stretch>
          <a:fillRect/>
        </a:stretch>
      </xdr:blipFill>
      <xdr:spPr>
        <a:xfrm>
          <a:off x="3952875" y="16316325"/>
          <a:ext cx="2581275" cy="2581275"/>
        </a:xfrm>
        <a:prstGeom prst="rect">
          <a:avLst/>
        </a:prstGeom>
        <a:noFill/>
        <a:ln w="1" cmpd="sng">
          <a:noFill/>
        </a:ln>
      </xdr:spPr>
    </xdr:pic>
    <xdr:clientData/>
  </xdr:twoCellAnchor>
  <xdr:twoCellAnchor>
    <xdr:from>
      <xdr:col>1</xdr:col>
      <xdr:colOff>190500</xdr:colOff>
      <xdr:row>0</xdr:row>
      <xdr:rowOff>47625</xdr:rowOff>
    </xdr:from>
    <xdr:to>
      <xdr:col>7</xdr:col>
      <xdr:colOff>647700</xdr:colOff>
      <xdr:row>2</xdr:row>
      <xdr:rowOff>57150</xdr:rowOff>
    </xdr:to>
    <xdr:sp>
      <xdr:nvSpPr>
        <xdr:cNvPr id="4" name="Rectangle 4"/>
        <xdr:cNvSpPr>
          <a:spLocks/>
        </xdr:cNvSpPr>
      </xdr:nvSpPr>
      <xdr:spPr>
        <a:xfrm>
          <a:off x="1743075" y="47625"/>
          <a:ext cx="5105400" cy="333375"/>
        </a:xfrm>
        <a:prstGeom prst="roundRect">
          <a:avLst/>
        </a:prstGeom>
        <a:blipFill>
          <a:blip r:embed="rId82"/>
          <a:srcRect/>
          <a:stretch>
            <a:fillRect/>
          </a:stretch>
        </a:blipFill>
        <a:ln w="9525" cmpd="sng">
          <a:solidFill>
            <a:srgbClr val="000000"/>
          </a:solidFill>
          <a:headEnd type="none"/>
          <a:tailEnd type="none"/>
        </a:ln>
      </xdr:spPr>
      <xdr:txBody>
        <a:bodyPr vertOverflow="clip" wrap="square"/>
        <a:p>
          <a:pPr algn="ctr">
            <a:defRPr/>
          </a:pPr>
          <a:r>
            <a:rPr lang="en-US" cap="none" sz="1800" b="1" i="0" u="none" baseline="0">
              <a:solidFill>
                <a:srgbClr val="FFCC00"/>
              </a:solidFill>
            </a:rPr>
            <a:t>Ejemplos presentados en la Charla de PP.</a:t>
          </a:r>
        </a:p>
      </xdr:txBody>
    </xdr:sp>
    <xdr:clientData/>
  </xdr:twoCellAnchor>
  <xdr:twoCellAnchor>
    <xdr:from>
      <xdr:col>1</xdr:col>
      <xdr:colOff>295275</xdr:colOff>
      <xdr:row>186</xdr:row>
      <xdr:rowOff>19050</xdr:rowOff>
    </xdr:from>
    <xdr:to>
      <xdr:col>7</xdr:col>
      <xdr:colOff>590550</xdr:colOff>
      <xdr:row>207</xdr:row>
      <xdr:rowOff>133350</xdr:rowOff>
    </xdr:to>
    <xdr:graphicFrame>
      <xdr:nvGraphicFramePr>
        <xdr:cNvPr id="5" name="Chart 8"/>
        <xdr:cNvGraphicFramePr/>
      </xdr:nvGraphicFramePr>
      <xdr:xfrm>
        <a:off x="1847850" y="30175200"/>
        <a:ext cx="4943475" cy="3514725"/>
      </xdr:xfrm>
      <a:graphic>
        <a:graphicData uri="http://schemas.openxmlformats.org/drawingml/2006/chart">
          <c:chart xmlns:c="http://schemas.openxmlformats.org/drawingml/2006/chart" r:id="rId2"/>
        </a:graphicData>
      </a:graphic>
    </xdr:graphicFrame>
    <xdr:clientData/>
  </xdr:twoCellAnchor>
  <xdr:twoCellAnchor editAs="oneCell">
    <xdr:from>
      <xdr:col>3</xdr:col>
      <xdr:colOff>323850</xdr:colOff>
      <xdr:row>212</xdr:row>
      <xdr:rowOff>66675</xdr:rowOff>
    </xdr:from>
    <xdr:to>
      <xdr:col>6</xdr:col>
      <xdr:colOff>57150</xdr:colOff>
      <xdr:row>214</xdr:row>
      <xdr:rowOff>152400</xdr:rowOff>
    </xdr:to>
    <xdr:pic>
      <xdr:nvPicPr>
        <xdr:cNvPr id="6" name="Picture 9"/>
        <xdr:cNvPicPr preferRelativeResize="1">
          <a:picLocks noChangeAspect="1"/>
        </xdr:cNvPicPr>
      </xdr:nvPicPr>
      <xdr:blipFill>
        <a:blip r:embed="rId3"/>
        <a:stretch>
          <a:fillRect/>
        </a:stretch>
      </xdr:blipFill>
      <xdr:spPr>
        <a:xfrm>
          <a:off x="3476625" y="34432875"/>
          <a:ext cx="2019300" cy="409575"/>
        </a:xfrm>
        <a:prstGeom prst="rect">
          <a:avLst/>
        </a:prstGeom>
        <a:solidFill>
          <a:srgbClr val="CCFFCC"/>
        </a:solidFill>
        <a:ln w="9525" cmpd="sng">
          <a:solidFill>
            <a:srgbClr val="FF00FF"/>
          </a:solidFill>
          <a:headEnd type="none"/>
          <a:tailEnd type="none"/>
        </a:ln>
      </xdr:spPr>
    </xdr:pic>
    <xdr:clientData/>
  </xdr:twoCellAnchor>
  <xdr:twoCellAnchor>
    <xdr:from>
      <xdr:col>4</xdr:col>
      <xdr:colOff>400050</xdr:colOff>
      <xdr:row>318</xdr:row>
      <xdr:rowOff>28575</xdr:rowOff>
    </xdr:from>
    <xdr:to>
      <xdr:col>10</xdr:col>
      <xdr:colOff>9525</xdr:colOff>
      <xdr:row>337</xdr:row>
      <xdr:rowOff>114300</xdr:rowOff>
    </xdr:to>
    <xdr:graphicFrame>
      <xdr:nvGraphicFramePr>
        <xdr:cNvPr id="7" name="Chart 13"/>
        <xdr:cNvGraphicFramePr/>
      </xdr:nvGraphicFramePr>
      <xdr:xfrm>
        <a:off x="4314825" y="51596925"/>
        <a:ext cx="4181475" cy="3162300"/>
      </xdr:xfrm>
      <a:graphic>
        <a:graphicData uri="http://schemas.openxmlformats.org/drawingml/2006/chart">
          <c:chart xmlns:c="http://schemas.openxmlformats.org/drawingml/2006/chart" r:id="rId4"/>
        </a:graphicData>
      </a:graphic>
    </xdr:graphicFrame>
    <xdr:clientData/>
  </xdr:twoCellAnchor>
  <xdr:twoCellAnchor editAs="oneCell">
    <xdr:from>
      <xdr:col>5</xdr:col>
      <xdr:colOff>200025</xdr:colOff>
      <xdr:row>314</xdr:row>
      <xdr:rowOff>0</xdr:rowOff>
    </xdr:from>
    <xdr:to>
      <xdr:col>8</xdr:col>
      <xdr:colOff>200025</xdr:colOff>
      <xdr:row>317</xdr:row>
      <xdr:rowOff>123825</xdr:rowOff>
    </xdr:to>
    <xdr:pic>
      <xdr:nvPicPr>
        <xdr:cNvPr id="8" name="Picture 14"/>
        <xdr:cNvPicPr preferRelativeResize="1">
          <a:picLocks noChangeAspect="1"/>
        </xdr:cNvPicPr>
      </xdr:nvPicPr>
      <xdr:blipFill>
        <a:blip r:embed="rId5"/>
        <a:stretch>
          <a:fillRect/>
        </a:stretch>
      </xdr:blipFill>
      <xdr:spPr>
        <a:xfrm>
          <a:off x="4876800" y="50920650"/>
          <a:ext cx="2286000" cy="609600"/>
        </a:xfrm>
        <a:prstGeom prst="rect">
          <a:avLst/>
        </a:prstGeom>
        <a:solidFill>
          <a:srgbClr val="CCFFCC"/>
        </a:solidFill>
        <a:ln w="9525" cmpd="sng">
          <a:solidFill>
            <a:srgbClr val="FF00FF"/>
          </a:solidFill>
          <a:headEnd type="none"/>
          <a:tailEnd type="none"/>
        </a:ln>
      </xdr:spPr>
    </xdr:pic>
    <xdr:clientData/>
  </xdr:twoCellAnchor>
  <xdr:twoCellAnchor editAs="oneCell">
    <xdr:from>
      <xdr:col>6</xdr:col>
      <xdr:colOff>190500</xdr:colOff>
      <xdr:row>226</xdr:row>
      <xdr:rowOff>9525</xdr:rowOff>
    </xdr:from>
    <xdr:to>
      <xdr:col>9</xdr:col>
      <xdr:colOff>361950</xdr:colOff>
      <xdr:row>227</xdr:row>
      <xdr:rowOff>38100</xdr:rowOff>
    </xdr:to>
    <xdr:pic>
      <xdr:nvPicPr>
        <xdr:cNvPr id="9" name="Picture 15"/>
        <xdr:cNvPicPr preferRelativeResize="1">
          <a:picLocks noChangeAspect="1"/>
        </xdr:cNvPicPr>
      </xdr:nvPicPr>
      <xdr:blipFill>
        <a:blip r:embed="rId6"/>
        <a:stretch>
          <a:fillRect/>
        </a:stretch>
      </xdr:blipFill>
      <xdr:spPr>
        <a:xfrm>
          <a:off x="5629275" y="36671250"/>
          <a:ext cx="2457450" cy="200025"/>
        </a:xfrm>
        <a:prstGeom prst="rect">
          <a:avLst/>
        </a:prstGeom>
        <a:solidFill>
          <a:srgbClr val="FFFF99"/>
        </a:solidFill>
        <a:ln w="9525" cmpd="sng">
          <a:solidFill>
            <a:srgbClr val="FF00FF"/>
          </a:solidFill>
          <a:headEnd type="none"/>
          <a:tailEnd type="none"/>
        </a:ln>
      </xdr:spPr>
    </xdr:pic>
    <xdr:clientData/>
  </xdr:twoCellAnchor>
  <xdr:twoCellAnchor editAs="oneCell">
    <xdr:from>
      <xdr:col>6</xdr:col>
      <xdr:colOff>304800</xdr:colOff>
      <xdr:row>309</xdr:row>
      <xdr:rowOff>104775</xdr:rowOff>
    </xdr:from>
    <xdr:to>
      <xdr:col>11</xdr:col>
      <xdr:colOff>466725</xdr:colOff>
      <xdr:row>311</xdr:row>
      <xdr:rowOff>123825</xdr:rowOff>
    </xdr:to>
    <xdr:pic>
      <xdr:nvPicPr>
        <xdr:cNvPr id="10" name="Picture 16"/>
        <xdr:cNvPicPr preferRelativeResize="1">
          <a:picLocks noChangeAspect="1"/>
        </xdr:cNvPicPr>
      </xdr:nvPicPr>
      <xdr:blipFill>
        <a:blip r:embed="rId7"/>
        <a:stretch>
          <a:fillRect/>
        </a:stretch>
      </xdr:blipFill>
      <xdr:spPr>
        <a:xfrm>
          <a:off x="5743575" y="50215800"/>
          <a:ext cx="3971925" cy="34290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295275</xdr:colOff>
      <xdr:row>349</xdr:row>
      <xdr:rowOff>85725</xdr:rowOff>
    </xdr:from>
    <xdr:to>
      <xdr:col>6</xdr:col>
      <xdr:colOff>590550</xdr:colOff>
      <xdr:row>351</xdr:row>
      <xdr:rowOff>0</xdr:rowOff>
    </xdr:to>
    <xdr:pic>
      <xdr:nvPicPr>
        <xdr:cNvPr id="11" name="Picture 18"/>
        <xdr:cNvPicPr preferRelativeResize="1">
          <a:picLocks noChangeAspect="1"/>
        </xdr:cNvPicPr>
      </xdr:nvPicPr>
      <xdr:blipFill>
        <a:blip r:embed="rId8"/>
        <a:stretch>
          <a:fillRect/>
        </a:stretch>
      </xdr:blipFill>
      <xdr:spPr>
        <a:xfrm>
          <a:off x="3448050" y="56692800"/>
          <a:ext cx="2581275" cy="23812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0</xdr:colOff>
      <xdr:row>360</xdr:row>
      <xdr:rowOff>0</xdr:rowOff>
    </xdr:from>
    <xdr:to>
      <xdr:col>6</xdr:col>
      <xdr:colOff>352425</xdr:colOff>
      <xdr:row>362</xdr:row>
      <xdr:rowOff>47625</xdr:rowOff>
    </xdr:to>
    <xdr:pic>
      <xdr:nvPicPr>
        <xdr:cNvPr id="12" name="Picture 19"/>
        <xdr:cNvPicPr preferRelativeResize="1">
          <a:picLocks noChangeAspect="1"/>
        </xdr:cNvPicPr>
      </xdr:nvPicPr>
      <xdr:blipFill>
        <a:blip r:embed="rId9"/>
        <a:stretch>
          <a:fillRect/>
        </a:stretch>
      </xdr:blipFill>
      <xdr:spPr>
        <a:xfrm>
          <a:off x="3152775" y="58388250"/>
          <a:ext cx="2638425" cy="381000"/>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523875</xdr:colOff>
      <xdr:row>366</xdr:row>
      <xdr:rowOff>0</xdr:rowOff>
    </xdr:from>
    <xdr:to>
      <xdr:col>6</xdr:col>
      <xdr:colOff>295275</xdr:colOff>
      <xdr:row>369</xdr:row>
      <xdr:rowOff>57150</xdr:rowOff>
    </xdr:to>
    <xdr:pic>
      <xdr:nvPicPr>
        <xdr:cNvPr id="13" name="Picture 20"/>
        <xdr:cNvPicPr preferRelativeResize="1">
          <a:picLocks noChangeAspect="1"/>
        </xdr:cNvPicPr>
      </xdr:nvPicPr>
      <xdr:blipFill>
        <a:blip r:embed="rId10"/>
        <a:stretch>
          <a:fillRect/>
        </a:stretch>
      </xdr:blipFill>
      <xdr:spPr>
        <a:xfrm>
          <a:off x="3676650" y="59369325"/>
          <a:ext cx="2057400" cy="561975"/>
        </a:xfrm>
        <a:prstGeom prst="rect">
          <a:avLst/>
        </a:prstGeom>
        <a:noFill/>
        <a:ln w="9525" cmpd="sng">
          <a:noFill/>
        </a:ln>
      </xdr:spPr>
    </xdr:pic>
    <xdr:clientData/>
  </xdr:twoCellAnchor>
  <xdr:twoCellAnchor editAs="oneCell">
    <xdr:from>
      <xdr:col>4</xdr:col>
      <xdr:colOff>123825</xdr:colOff>
      <xdr:row>473</xdr:row>
      <xdr:rowOff>114300</xdr:rowOff>
    </xdr:from>
    <xdr:to>
      <xdr:col>6</xdr:col>
      <xdr:colOff>123825</xdr:colOff>
      <xdr:row>475</xdr:row>
      <xdr:rowOff>66675</xdr:rowOff>
    </xdr:to>
    <xdr:pic>
      <xdr:nvPicPr>
        <xdr:cNvPr id="14" name="Picture 23"/>
        <xdr:cNvPicPr preferRelativeResize="1">
          <a:picLocks noChangeAspect="1"/>
        </xdr:cNvPicPr>
      </xdr:nvPicPr>
      <xdr:blipFill>
        <a:blip r:embed="rId11"/>
        <a:stretch>
          <a:fillRect/>
        </a:stretch>
      </xdr:blipFill>
      <xdr:spPr>
        <a:xfrm>
          <a:off x="4038600" y="76876275"/>
          <a:ext cx="1524000" cy="285750"/>
        </a:xfrm>
        <a:prstGeom prst="rect">
          <a:avLst/>
        </a:prstGeom>
        <a:solidFill>
          <a:srgbClr val="CCFFCC"/>
        </a:solidFill>
        <a:ln w="9525" cmpd="sng">
          <a:solidFill>
            <a:srgbClr val="FF00FF"/>
          </a:solidFill>
          <a:headEnd type="none"/>
          <a:tailEnd type="none"/>
        </a:ln>
      </xdr:spPr>
    </xdr:pic>
    <xdr:clientData/>
  </xdr:twoCellAnchor>
  <xdr:twoCellAnchor editAs="oneCell">
    <xdr:from>
      <xdr:col>6</xdr:col>
      <xdr:colOff>104775</xdr:colOff>
      <xdr:row>473</xdr:row>
      <xdr:rowOff>104775</xdr:rowOff>
    </xdr:from>
    <xdr:to>
      <xdr:col>8</xdr:col>
      <xdr:colOff>104775</xdr:colOff>
      <xdr:row>475</xdr:row>
      <xdr:rowOff>57150</xdr:rowOff>
    </xdr:to>
    <xdr:pic>
      <xdr:nvPicPr>
        <xdr:cNvPr id="15" name="Picture 24"/>
        <xdr:cNvPicPr preferRelativeResize="1">
          <a:picLocks noChangeAspect="1"/>
        </xdr:cNvPicPr>
      </xdr:nvPicPr>
      <xdr:blipFill>
        <a:blip r:embed="rId12"/>
        <a:stretch>
          <a:fillRect/>
        </a:stretch>
      </xdr:blipFill>
      <xdr:spPr>
        <a:xfrm>
          <a:off x="5543550" y="76866750"/>
          <a:ext cx="1524000" cy="285750"/>
        </a:xfrm>
        <a:prstGeom prst="rect">
          <a:avLst/>
        </a:prstGeom>
        <a:solidFill>
          <a:srgbClr val="FFFF99"/>
        </a:solidFill>
        <a:ln w="9525" cmpd="sng">
          <a:solidFill>
            <a:srgbClr val="FF00FF"/>
          </a:solidFill>
          <a:headEnd type="none"/>
          <a:tailEnd type="none"/>
        </a:ln>
      </xdr:spPr>
    </xdr:pic>
    <xdr:clientData/>
  </xdr:twoCellAnchor>
  <xdr:twoCellAnchor editAs="oneCell">
    <xdr:from>
      <xdr:col>8</xdr:col>
      <xdr:colOff>219075</xdr:colOff>
      <xdr:row>473</xdr:row>
      <xdr:rowOff>57150</xdr:rowOff>
    </xdr:from>
    <xdr:to>
      <xdr:col>10</xdr:col>
      <xdr:colOff>47625</xdr:colOff>
      <xdr:row>476</xdr:row>
      <xdr:rowOff>38100</xdr:rowOff>
    </xdr:to>
    <xdr:pic>
      <xdr:nvPicPr>
        <xdr:cNvPr id="16" name="Picture 25"/>
        <xdr:cNvPicPr preferRelativeResize="1">
          <a:picLocks noChangeAspect="1"/>
        </xdr:cNvPicPr>
      </xdr:nvPicPr>
      <xdr:blipFill>
        <a:blip r:embed="rId13"/>
        <a:stretch>
          <a:fillRect/>
        </a:stretch>
      </xdr:blipFill>
      <xdr:spPr>
        <a:xfrm>
          <a:off x="7181850" y="76819125"/>
          <a:ext cx="1352550" cy="476250"/>
        </a:xfrm>
        <a:prstGeom prst="rect">
          <a:avLst/>
        </a:prstGeom>
        <a:solidFill>
          <a:srgbClr val="FFCC99"/>
        </a:solidFill>
        <a:ln w="9525" cmpd="sng">
          <a:solidFill>
            <a:srgbClr val="FF00FF"/>
          </a:solidFill>
          <a:headEnd type="none"/>
          <a:tailEnd type="none"/>
        </a:ln>
      </xdr:spPr>
    </xdr:pic>
    <xdr:clientData/>
  </xdr:twoCellAnchor>
  <xdr:twoCellAnchor editAs="oneCell">
    <xdr:from>
      <xdr:col>10</xdr:col>
      <xdr:colOff>171450</xdr:colOff>
      <xdr:row>473</xdr:row>
      <xdr:rowOff>66675</xdr:rowOff>
    </xdr:from>
    <xdr:to>
      <xdr:col>11</xdr:col>
      <xdr:colOff>723900</xdr:colOff>
      <xdr:row>476</xdr:row>
      <xdr:rowOff>38100</xdr:rowOff>
    </xdr:to>
    <xdr:pic>
      <xdr:nvPicPr>
        <xdr:cNvPr id="17" name="Picture 27"/>
        <xdr:cNvPicPr preferRelativeResize="1">
          <a:picLocks noChangeAspect="1"/>
        </xdr:cNvPicPr>
      </xdr:nvPicPr>
      <xdr:blipFill>
        <a:blip r:embed="rId14"/>
        <a:stretch>
          <a:fillRect/>
        </a:stretch>
      </xdr:blipFill>
      <xdr:spPr>
        <a:xfrm>
          <a:off x="8658225" y="76828650"/>
          <a:ext cx="1314450" cy="466725"/>
        </a:xfrm>
        <a:prstGeom prst="rect">
          <a:avLst/>
        </a:prstGeom>
        <a:solidFill>
          <a:srgbClr val="FF99CC"/>
        </a:solidFill>
        <a:ln w="9525" cmpd="sng">
          <a:solidFill>
            <a:srgbClr val="FF00FF"/>
          </a:solidFill>
          <a:headEnd type="none"/>
          <a:tailEnd type="none"/>
        </a:ln>
      </xdr:spPr>
    </xdr:pic>
    <xdr:clientData/>
  </xdr:twoCellAnchor>
  <xdr:twoCellAnchor editAs="oneCell">
    <xdr:from>
      <xdr:col>13</xdr:col>
      <xdr:colOff>9525</xdr:colOff>
      <xdr:row>474</xdr:row>
      <xdr:rowOff>57150</xdr:rowOff>
    </xdr:from>
    <xdr:to>
      <xdr:col>15</xdr:col>
      <xdr:colOff>257175</xdr:colOff>
      <xdr:row>477</xdr:row>
      <xdr:rowOff>76200</xdr:rowOff>
    </xdr:to>
    <xdr:pic>
      <xdr:nvPicPr>
        <xdr:cNvPr id="18" name="Picture 28"/>
        <xdr:cNvPicPr preferRelativeResize="1">
          <a:picLocks noChangeAspect="1"/>
        </xdr:cNvPicPr>
      </xdr:nvPicPr>
      <xdr:blipFill>
        <a:blip r:embed="rId15"/>
        <a:stretch>
          <a:fillRect/>
        </a:stretch>
      </xdr:blipFill>
      <xdr:spPr>
        <a:xfrm>
          <a:off x="10782300" y="76990575"/>
          <a:ext cx="1771650" cy="504825"/>
        </a:xfrm>
        <a:prstGeom prst="rect">
          <a:avLst/>
        </a:prstGeom>
        <a:solidFill>
          <a:srgbClr val="CCFFFF"/>
        </a:solidFill>
        <a:ln w="9525" cmpd="sng">
          <a:solidFill>
            <a:srgbClr val="FF00FF"/>
          </a:solidFill>
          <a:headEnd type="none"/>
          <a:tailEnd type="none"/>
        </a:ln>
      </xdr:spPr>
    </xdr:pic>
    <xdr:clientData/>
  </xdr:twoCellAnchor>
  <xdr:twoCellAnchor editAs="oneCell">
    <xdr:from>
      <xdr:col>15</xdr:col>
      <xdr:colOff>371475</xdr:colOff>
      <xdr:row>474</xdr:row>
      <xdr:rowOff>66675</xdr:rowOff>
    </xdr:from>
    <xdr:to>
      <xdr:col>17</xdr:col>
      <xdr:colOff>590550</xdr:colOff>
      <xdr:row>477</xdr:row>
      <xdr:rowOff>66675</xdr:rowOff>
    </xdr:to>
    <xdr:pic>
      <xdr:nvPicPr>
        <xdr:cNvPr id="19" name="Picture 29"/>
        <xdr:cNvPicPr preferRelativeResize="1">
          <a:picLocks noChangeAspect="1"/>
        </xdr:cNvPicPr>
      </xdr:nvPicPr>
      <xdr:blipFill>
        <a:blip r:embed="rId16"/>
        <a:stretch>
          <a:fillRect/>
        </a:stretch>
      </xdr:blipFill>
      <xdr:spPr>
        <a:xfrm>
          <a:off x="12668250" y="77000100"/>
          <a:ext cx="1743075" cy="485775"/>
        </a:xfrm>
        <a:prstGeom prst="rect">
          <a:avLst/>
        </a:prstGeom>
        <a:solidFill>
          <a:srgbClr val="00FFFF"/>
        </a:solidFill>
        <a:ln w="9525" cmpd="sng">
          <a:solidFill>
            <a:srgbClr val="FF00FF"/>
          </a:solidFill>
          <a:headEnd type="none"/>
          <a:tailEnd type="none"/>
        </a:ln>
      </xdr:spPr>
    </xdr:pic>
    <xdr:clientData/>
  </xdr:twoCellAnchor>
  <xdr:twoCellAnchor editAs="oneCell">
    <xdr:from>
      <xdr:col>17</xdr:col>
      <xdr:colOff>666750</xdr:colOff>
      <xdr:row>474</xdr:row>
      <xdr:rowOff>76200</xdr:rowOff>
    </xdr:from>
    <xdr:to>
      <xdr:col>21</xdr:col>
      <xdr:colOff>57150</xdr:colOff>
      <xdr:row>477</xdr:row>
      <xdr:rowOff>66675</xdr:rowOff>
    </xdr:to>
    <xdr:pic>
      <xdr:nvPicPr>
        <xdr:cNvPr id="20" name="Picture 30"/>
        <xdr:cNvPicPr preferRelativeResize="1">
          <a:picLocks noChangeAspect="1"/>
        </xdr:cNvPicPr>
      </xdr:nvPicPr>
      <xdr:blipFill>
        <a:blip r:embed="rId17"/>
        <a:stretch>
          <a:fillRect/>
        </a:stretch>
      </xdr:blipFill>
      <xdr:spPr>
        <a:xfrm>
          <a:off x="14487525" y="77009625"/>
          <a:ext cx="2438400" cy="476250"/>
        </a:xfrm>
        <a:prstGeom prst="rect">
          <a:avLst/>
        </a:prstGeom>
        <a:solidFill>
          <a:srgbClr val="99CCFF"/>
        </a:solidFill>
        <a:ln w="9525" cmpd="sng">
          <a:solidFill>
            <a:srgbClr val="FF00FF"/>
          </a:solidFill>
          <a:headEnd type="none"/>
          <a:tailEnd type="none"/>
        </a:ln>
      </xdr:spPr>
    </xdr:pic>
    <xdr:clientData/>
  </xdr:twoCellAnchor>
  <xdr:twoCellAnchor editAs="oneCell">
    <xdr:from>
      <xdr:col>4</xdr:col>
      <xdr:colOff>76200</xdr:colOff>
      <xdr:row>476</xdr:row>
      <xdr:rowOff>76200</xdr:rowOff>
    </xdr:from>
    <xdr:to>
      <xdr:col>6</xdr:col>
      <xdr:colOff>495300</xdr:colOff>
      <xdr:row>478</xdr:row>
      <xdr:rowOff>66675</xdr:rowOff>
    </xdr:to>
    <xdr:pic>
      <xdr:nvPicPr>
        <xdr:cNvPr id="21" name="Picture 31"/>
        <xdr:cNvPicPr preferRelativeResize="1">
          <a:picLocks noChangeAspect="1"/>
        </xdr:cNvPicPr>
      </xdr:nvPicPr>
      <xdr:blipFill>
        <a:blip r:embed="rId18"/>
        <a:stretch>
          <a:fillRect/>
        </a:stretch>
      </xdr:blipFill>
      <xdr:spPr>
        <a:xfrm>
          <a:off x="3990975" y="77333475"/>
          <a:ext cx="1943100" cy="314325"/>
        </a:xfrm>
        <a:prstGeom prst="rect">
          <a:avLst/>
        </a:prstGeom>
        <a:solidFill>
          <a:srgbClr val="CCFFCC"/>
        </a:solidFill>
        <a:ln w="9525" cmpd="sng">
          <a:solidFill>
            <a:srgbClr val="FF00FF"/>
          </a:solidFill>
          <a:headEnd type="none"/>
          <a:tailEnd type="none"/>
        </a:ln>
      </xdr:spPr>
    </xdr:pic>
    <xdr:clientData/>
  </xdr:twoCellAnchor>
  <xdr:twoCellAnchor editAs="oneCell">
    <xdr:from>
      <xdr:col>6</xdr:col>
      <xdr:colOff>571500</xdr:colOff>
      <xdr:row>476</xdr:row>
      <xdr:rowOff>66675</xdr:rowOff>
    </xdr:from>
    <xdr:to>
      <xdr:col>9</xdr:col>
      <xdr:colOff>266700</xdr:colOff>
      <xdr:row>478</xdr:row>
      <xdr:rowOff>66675</xdr:rowOff>
    </xdr:to>
    <xdr:pic>
      <xdr:nvPicPr>
        <xdr:cNvPr id="22" name="Picture 32"/>
        <xdr:cNvPicPr preferRelativeResize="1">
          <a:picLocks noChangeAspect="1"/>
        </xdr:cNvPicPr>
      </xdr:nvPicPr>
      <xdr:blipFill>
        <a:blip r:embed="rId19"/>
        <a:stretch>
          <a:fillRect/>
        </a:stretch>
      </xdr:blipFill>
      <xdr:spPr>
        <a:xfrm>
          <a:off x="6010275" y="77323950"/>
          <a:ext cx="1981200" cy="323850"/>
        </a:xfrm>
        <a:prstGeom prst="rect">
          <a:avLst/>
        </a:prstGeom>
        <a:solidFill>
          <a:srgbClr val="CCFFFF"/>
        </a:solidFill>
        <a:ln w="9525" cmpd="sng">
          <a:solidFill>
            <a:srgbClr val="FF00FF"/>
          </a:solidFill>
          <a:headEnd type="none"/>
          <a:tailEnd type="none"/>
        </a:ln>
      </xdr:spPr>
    </xdr:pic>
    <xdr:clientData/>
  </xdr:twoCellAnchor>
  <xdr:twoCellAnchor editAs="oneCell">
    <xdr:from>
      <xdr:col>9</xdr:col>
      <xdr:colOff>304800</xdr:colOff>
      <xdr:row>476</xdr:row>
      <xdr:rowOff>66675</xdr:rowOff>
    </xdr:from>
    <xdr:to>
      <xdr:col>12</xdr:col>
      <xdr:colOff>628650</xdr:colOff>
      <xdr:row>478</xdr:row>
      <xdr:rowOff>57150</xdr:rowOff>
    </xdr:to>
    <xdr:pic>
      <xdr:nvPicPr>
        <xdr:cNvPr id="23" name="Picture 33"/>
        <xdr:cNvPicPr preferRelativeResize="1">
          <a:picLocks noChangeAspect="1"/>
        </xdr:cNvPicPr>
      </xdr:nvPicPr>
      <xdr:blipFill>
        <a:blip r:embed="rId20"/>
        <a:stretch>
          <a:fillRect/>
        </a:stretch>
      </xdr:blipFill>
      <xdr:spPr>
        <a:xfrm>
          <a:off x="8029575" y="77323950"/>
          <a:ext cx="2609850" cy="314325"/>
        </a:xfrm>
        <a:prstGeom prst="rect">
          <a:avLst/>
        </a:prstGeom>
        <a:solidFill>
          <a:srgbClr val="FFCC00"/>
        </a:solidFill>
        <a:ln w="9525" cmpd="sng">
          <a:solidFill>
            <a:srgbClr val="FF00FF"/>
          </a:solidFill>
          <a:headEnd type="none"/>
          <a:tailEnd type="none"/>
        </a:ln>
      </xdr:spPr>
    </xdr:pic>
    <xdr:clientData/>
  </xdr:twoCellAnchor>
  <xdr:twoCellAnchor editAs="oneCell">
    <xdr:from>
      <xdr:col>13</xdr:col>
      <xdr:colOff>57150</xdr:colOff>
      <xdr:row>477</xdr:row>
      <xdr:rowOff>142875</xdr:rowOff>
    </xdr:from>
    <xdr:to>
      <xdr:col>15</xdr:col>
      <xdr:colOff>533400</xdr:colOff>
      <xdr:row>479</xdr:row>
      <xdr:rowOff>104775</xdr:rowOff>
    </xdr:to>
    <xdr:pic>
      <xdr:nvPicPr>
        <xdr:cNvPr id="24" name="Picture 34"/>
        <xdr:cNvPicPr preferRelativeResize="1">
          <a:picLocks noChangeAspect="1"/>
        </xdr:cNvPicPr>
      </xdr:nvPicPr>
      <xdr:blipFill>
        <a:blip r:embed="rId21"/>
        <a:stretch>
          <a:fillRect/>
        </a:stretch>
      </xdr:blipFill>
      <xdr:spPr>
        <a:xfrm>
          <a:off x="10829925" y="77562075"/>
          <a:ext cx="2000250" cy="285750"/>
        </a:xfrm>
        <a:prstGeom prst="rect">
          <a:avLst/>
        </a:prstGeom>
        <a:solidFill>
          <a:srgbClr val="00FFFF"/>
        </a:solidFill>
        <a:ln w="9525" cmpd="sng">
          <a:solidFill>
            <a:srgbClr val="FF00FF"/>
          </a:solidFill>
          <a:headEnd type="none"/>
          <a:tailEnd type="none"/>
        </a:ln>
      </xdr:spPr>
    </xdr:pic>
    <xdr:clientData/>
  </xdr:twoCellAnchor>
  <xdr:twoCellAnchor editAs="oneCell">
    <xdr:from>
      <xdr:col>15</xdr:col>
      <xdr:colOff>619125</xdr:colOff>
      <xdr:row>477</xdr:row>
      <xdr:rowOff>133350</xdr:rowOff>
    </xdr:from>
    <xdr:to>
      <xdr:col>18</xdr:col>
      <xdr:colOff>352425</xdr:colOff>
      <xdr:row>479</xdr:row>
      <xdr:rowOff>95250</xdr:rowOff>
    </xdr:to>
    <xdr:pic>
      <xdr:nvPicPr>
        <xdr:cNvPr id="25" name="Picture 35"/>
        <xdr:cNvPicPr preferRelativeResize="1">
          <a:picLocks noChangeAspect="1"/>
        </xdr:cNvPicPr>
      </xdr:nvPicPr>
      <xdr:blipFill>
        <a:blip r:embed="rId22"/>
        <a:stretch>
          <a:fillRect/>
        </a:stretch>
      </xdr:blipFill>
      <xdr:spPr>
        <a:xfrm>
          <a:off x="12915900" y="77552550"/>
          <a:ext cx="2019300" cy="285750"/>
        </a:xfrm>
        <a:prstGeom prst="rect">
          <a:avLst/>
        </a:prstGeom>
        <a:solidFill>
          <a:srgbClr val="00FF00"/>
        </a:solidFill>
        <a:ln w="9525" cmpd="sng">
          <a:solidFill>
            <a:srgbClr val="FF00FF"/>
          </a:solidFill>
          <a:headEnd type="none"/>
          <a:tailEnd type="none"/>
        </a:ln>
      </xdr:spPr>
    </xdr:pic>
    <xdr:clientData/>
  </xdr:twoCellAnchor>
  <xdr:twoCellAnchor editAs="oneCell">
    <xdr:from>
      <xdr:col>18</xdr:col>
      <xdr:colOff>419100</xdr:colOff>
      <xdr:row>477</xdr:row>
      <xdr:rowOff>133350</xdr:rowOff>
    </xdr:from>
    <xdr:to>
      <xdr:col>21</xdr:col>
      <xdr:colOff>304800</xdr:colOff>
      <xdr:row>479</xdr:row>
      <xdr:rowOff>95250</xdr:rowOff>
    </xdr:to>
    <xdr:pic>
      <xdr:nvPicPr>
        <xdr:cNvPr id="26" name="Picture 36"/>
        <xdr:cNvPicPr preferRelativeResize="1">
          <a:picLocks noChangeAspect="1"/>
        </xdr:cNvPicPr>
      </xdr:nvPicPr>
      <xdr:blipFill>
        <a:blip r:embed="rId23"/>
        <a:stretch>
          <a:fillRect/>
        </a:stretch>
      </xdr:blipFill>
      <xdr:spPr>
        <a:xfrm>
          <a:off x="15001875" y="77552550"/>
          <a:ext cx="2171700" cy="285750"/>
        </a:xfrm>
        <a:prstGeom prst="rect">
          <a:avLst/>
        </a:prstGeom>
        <a:solidFill>
          <a:srgbClr val="FFFF00"/>
        </a:solidFill>
        <a:ln w="9525" cmpd="sng">
          <a:solidFill>
            <a:srgbClr val="FF00FF"/>
          </a:solidFill>
          <a:headEnd type="none"/>
          <a:tailEnd type="none"/>
        </a:ln>
      </xdr:spPr>
    </xdr:pic>
    <xdr:clientData/>
  </xdr:twoCellAnchor>
  <xdr:twoCellAnchor editAs="oneCell">
    <xdr:from>
      <xdr:col>4</xdr:col>
      <xdr:colOff>133350</xdr:colOff>
      <xdr:row>478</xdr:row>
      <xdr:rowOff>123825</xdr:rowOff>
    </xdr:from>
    <xdr:to>
      <xdr:col>6</xdr:col>
      <xdr:colOff>628650</xdr:colOff>
      <xdr:row>482</xdr:row>
      <xdr:rowOff>85725</xdr:rowOff>
    </xdr:to>
    <xdr:pic>
      <xdr:nvPicPr>
        <xdr:cNvPr id="27" name="Picture 37"/>
        <xdr:cNvPicPr preferRelativeResize="1">
          <a:picLocks noChangeAspect="1"/>
        </xdr:cNvPicPr>
      </xdr:nvPicPr>
      <xdr:blipFill>
        <a:blip r:embed="rId24"/>
        <a:stretch>
          <a:fillRect/>
        </a:stretch>
      </xdr:blipFill>
      <xdr:spPr>
        <a:xfrm>
          <a:off x="4048125" y="77704950"/>
          <a:ext cx="2019300" cy="609600"/>
        </a:xfrm>
        <a:prstGeom prst="rect">
          <a:avLst/>
        </a:prstGeom>
        <a:solidFill>
          <a:srgbClr val="CCFFCC"/>
        </a:solidFill>
        <a:ln w="9525" cmpd="sng">
          <a:solidFill>
            <a:srgbClr val="FF00FF"/>
          </a:solidFill>
          <a:headEnd type="none"/>
          <a:tailEnd type="none"/>
        </a:ln>
      </xdr:spPr>
    </xdr:pic>
    <xdr:clientData/>
  </xdr:twoCellAnchor>
  <xdr:twoCellAnchor editAs="oneCell">
    <xdr:from>
      <xdr:col>6</xdr:col>
      <xdr:colOff>676275</xdr:colOff>
      <xdr:row>479</xdr:row>
      <xdr:rowOff>142875</xdr:rowOff>
    </xdr:from>
    <xdr:to>
      <xdr:col>9</xdr:col>
      <xdr:colOff>504825</xdr:colOff>
      <xdr:row>480</xdr:row>
      <xdr:rowOff>152400</xdr:rowOff>
    </xdr:to>
    <xdr:pic>
      <xdr:nvPicPr>
        <xdr:cNvPr id="28" name="Picture 38"/>
        <xdr:cNvPicPr preferRelativeResize="1">
          <a:picLocks noChangeAspect="1"/>
        </xdr:cNvPicPr>
      </xdr:nvPicPr>
      <xdr:blipFill>
        <a:blip r:embed="rId25"/>
        <a:stretch>
          <a:fillRect/>
        </a:stretch>
      </xdr:blipFill>
      <xdr:spPr>
        <a:xfrm>
          <a:off x="6115050" y="77885925"/>
          <a:ext cx="2114550" cy="171450"/>
        </a:xfrm>
        <a:prstGeom prst="rect">
          <a:avLst/>
        </a:prstGeom>
        <a:solidFill>
          <a:srgbClr val="FFFF99"/>
        </a:solidFill>
        <a:ln w="9525" cmpd="sng">
          <a:solidFill>
            <a:srgbClr val="FF00FF"/>
          </a:solidFill>
          <a:headEnd type="none"/>
          <a:tailEnd type="none"/>
        </a:ln>
      </xdr:spPr>
    </xdr:pic>
    <xdr:clientData/>
  </xdr:twoCellAnchor>
  <xdr:twoCellAnchor editAs="oneCell">
    <xdr:from>
      <xdr:col>2</xdr:col>
      <xdr:colOff>323850</xdr:colOff>
      <xdr:row>492</xdr:row>
      <xdr:rowOff>57150</xdr:rowOff>
    </xdr:from>
    <xdr:to>
      <xdr:col>4</xdr:col>
      <xdr:colOff>619125</xdr:colOff>
      <xdr:row>493</xdr:row>
      <xdr:rowOff>142875</xdr:rowOff>
    </xdr:to>
    <xdr:pic>
      <xdr:nvPicPr>
        <xdr:cNvPr id="29" name="Picture 42"/>
        <xdr:cNvPicPr preferRelativeResize="1">
          <a:picLocks noChangeAspect="1"/>
        </xdr:cNvPicPr>
      </xdr:nvPicPr>
      <xdr:blipFill>
        <a:blip r:embed="rId26"/>
        <a:stretch>
          <a:fillRect/>
        </a:stretch>
      </xdr:blipFill>
      <xdr:spPr>
        <a:xfrm>
          <a:off x="2714625" y="79924275"/>
          <a:ext cx="1819275" cy="24765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47625</xdr:colOff>
      <xdr:row>492</xdr:row>
      <xdr:rowOff>28575</xdr:rowOff>
    </xdr:from>
    <xdr:to>
      <xdr:col>7</xdr:col>
      <xdr:colOff>219075</xdr:colOff>
      <xdr:row>494</xdr:row>
      <xdr:rowOff>95250</xdr:rowOff>
    </xdr:to>
    <xdr:pic>
      <xdr:nvPicPr>
        <xdr:cNvPr id="30" name="Picture 43"/>
        <xdr:cNvPicPr preferRelativeResize="1">
          <a:picLocks noChangeAspect="1"/>
        </xdr:cNvPicPr>
      </xdr:nvPicPr>
      <xdr:blipFill>
        <a:blip r:embed="rId27"/>
        <a:stretch>
          <a:fillRect/>
        </a:stretch>
      </xdr:blipFill>
      <xdr:spPr>
        <a:xfrm>
          <a:off x="4724400" y="79895700"/>
          <a:ext cx="1695450" cy="390525"/>
        </a:xfrm>
        <a:prstGeom prst="rect">
          <a:avLst/>
        </a:prstGeom>
        <a:solidFill>
          <a:srgbClr val="CCFFCC"/>
        </a:solidFill>
        <a:ln w="9525" cmpd="sng">
          <a:solidFill>
            <a:srgbClr val="FF00FF"/>
          </a:solidFill>
          <a:headEnd type="none"/>
          <a:tailEnd type="none"/>
        </a:ln>
      </xdr:spPr>
    </xdr:pic>
    <xdr:clientData/>
  </xdr:twoCellAnchor>
  <xdr:twoCellAnchor editAs="oneCell">
    <xdr:from>
      <xdr:col>8</xdr:col>
      <xdr:colOff>123825</xdr:colOff>
      <xdr:row>495</xdr:row>
      <xdr:rowOff>114300</xdr:rowOff>
    </xdr:from>
    <xdr:to>
      <xdr:col>10</xdr:col>
      <xdr:colOff>257175</xdr:colOff>
      <xdr:row>497</xdr:row>
      <xdr:rowOff>152400</xdr:rowOff>
    </xdr:to>
    <xdr:pic>
      <xdr:nvPicPr>
        <xdr:cNvPr id="31" name="Picture 44"/>
        <xdr:cNvPicPr preferRelativeResize="1">
          <a:picLocks noChangeAspect="1"/>
        </xdr:cNvPicPr>
      </xdr:nvPicPr>
      <xdr:blipFill>
        <a:blip r:embed="rId28"/>
        <a:stretch>
          <a:fillRect/>
        </a:stretch>
      </xdr:blipFill>
      <xdr:spPr>
        <a:xfrm>
          <a:off x="7086600" y="80467200"/>
          <a:ext cx="1657350" cy="361950"/>
        </a:xfrm>
        <a:prstGeom prst="rect">
          <a:avLst/>
        </a:prstGeom>
        <a:solidFill>
          <a:srgbClr val="CCFFFF"/>
        </a:solidFill>
        <a:ln w="9525" cmpd="sng">
          <a:solidFill>
            <a:srgbClr val="FF00FF"/>
          </a:solidFill>
          <a:headEnd type="none"/>
          <a:tailEnd type="none"/>
        </a:ln>
      </xdr:spPr>
    </xdr:pic>
    <xdr:clientData/>
  </xdr:twoCellAnchor>
  <xdr:twoCellAnchor editAs="oneCell">
    <xdr:from>
      <xdr:col>2</xdr:col>
      <xdr:colOff>200025</xdr:colOff>
      <xdr:row>498</xdr:row>
      <xdr:rowOff>104775</xdr:rowOff>
    </xdr:from>
    <xdr:to>
      <xdr:col>7</xdr:col>
      <xdr:colOff>19050</xdr:colOff>
      <xdr:row>502</xdr:row>
      <xdr:rowOff>133350</xdr:rowOff>
    </xdr:to>
    <xdr:pic>
      <xdr:nvPicPr>
        <xdr:cNvPr id="32" name="Picture 45"/>
        <xdr:cNvPicPr preferRelativeResize="1">
          <a:picLocks noChangeAspect="1"/>
        </xdr:cNvPicPr>
      </xdr:nvPicPr>
      <xdr:blipFill>
        <a:blip r:embed="rId29"/>
        <a:stretch>
          <a:fillRect/>
        </a:stretch>
      </xdr:blipFill>
      <xdr:spPr>
        <a:xfrm>
          <a:off x="2590800" y="80952975"/>
          <a:ext cx="3629025" cy="676275"/>
        </a:xfrm>
        <a:prstGeom prst="rect">
          <a:avLst/>
        </a:prstGeom>
        <a:solidFill>
          <a:srgbClr val="CCFFCC"/>
        </a:solidFill>
        <a:ln w="9525" cmpd="sng">
          <a:solidFill>
            <a:srgbClr val="FF00FF"/>
          </a:solidFill>
          <a:headEnd type="none"/>
          <a:tailEnd type="none"/>
        </a:ln>
      </xdr:spPr>
    </xdr:pic>
    <xdr:clientData/>
  </xdr:twoCellAnchor>
  <xdr:twoCellAnchor editAs="oneCell">
    <xdr:from>
      <xdr:col>2</xdr:col>
      <xdr:colOff>733425</xdr:colOff>
      <xdr:row>517</xdr:row>
      <xdr:rowOff>152400</xdr:rowOff>
    </xdr:from>
    <xdr:to>
      <xdr:col>6</xdr:col>
      <xdr:colOff>647700</xdr:colOff>
      <xdr:row>521</xdr:row>
      <xdr:rowOff>114300</xdr:rowOff>
    </xdr:to>
    <xdr:pic>
      <xdr:nvPicPr>
        <xdr:cNvPr id="33" name="Picture 51"/>
        <xdr:cNvPicPr preferRelativeResize="1">
          <a:picLocks noChangeAspect="1"/>
        </xdr:cNvPicPr>
      </xdr:nvPicPr>
      <xdr:blipFill>
        <a:blip r:embed="rId30"/>
        <a:stretch>
          <a:fillRect/>
        </a:stretch>
      </xdr:blipFill>
      <xdr:spPr>
        <a:xfrm>
          <a:off x="3124200" y="84086700"/>
          <a:ext cx="2962275" cy="619125"/>
        </a:xfrm>
        <a:prstGeom prst="rect">
          <a:avLst/>
        </a:prstGeom>
        <a:solidFill>
          <a:srgbClr val="CCFFCC"/>
        </a:solidFill>
        <a:ln w="9525" cmpd="sng">
          <a:solidFill>
            <a:srgbClr val="FF00FF"/>
          </a:solidFill>
          <a:headEnd type="none"/>
          <a:tailEnd type="none"/>
        </a:ln>
      </xdr:spPr>
    </xdr:pic>
    <xdr:clientData/>
  </xdr:twoCellAnchor>
  <xdr:twoCellAnchor>
    <xdr:from>
      <xdr:col>1</xdr:col>
      <xdr:colOff>123825</xdr:colOff>
      <xdr:row>567</xdr:row>
      <xdr:rowOff>114300</xdr:rowOff>
    </xdr:from>
    <xdr:to>
      <xdr:col>7</xdr:col>
      <xdr:colOff>333375</xdr:colOff>
      <xdr:row>587</xdr:row>
      <xdr:rowOff>114300</xdr:rowOff>
    </xdr:to>
    <xdr:graphicFrame>
      <xdr:nvGraphicFramePr>
        <xdr:cNvPr id="34" name="Chart 59"/>
        <xdr:cNvGraphicFramePr/>
      </xdr:nvGraphicFramePr>
      <xdr:xfrm>
        <a:off x="1676400" y="92182950"/>
        <a:ext cx="4857750" cy="3238500"/>
      </xdr:xfrm>
      <a:graphic>
        <a:graphicData uri="http://schemas.openxmlformats.org/drawingml/2006/chart">
          <c:chart xmlns:c="http://schemas.openxmlformats.org/drawingml/2006/chart" r:id="rId31"/>
        </a:graphicData>
      </a:graphic>
    </xdr:graphicFrame>
    <xdr:clientData/>
  </xdr:twoCellAnchor>
  <xdr:twoCellAnchor>
    <xdr:from>
      <xdr:col>5</xdr:col>
      <xdr:colOff>428625</xdr:colOff>
      <xdr:row>594</xdr:row>
      <xdr:rowOff>47625</xdr:rowOff>
    </xdr:from>
    <xdr:to>
      <xdr:col>7</xdr:col>
      <xdr:colOff>523875</xdr:colOff>
      <xdr:row>598</xdr:row>
      <xdr:rowOff>0</xdr:rowOff>
    </xdr:to>
    <xdr:sp>
      <xdr:nvSpPr>
        <xdr:cNvPr id="35" name="TextBox 62"/>
        <xdr:cNvSpPr txBox="1">
          <a:spLocks noChangeArrowheads="1"/>
        </xdr:cNvSpPr>
      </xdr:nvSpPr>
      <xdr:spPr>
        <a:xfrm>
          <a:off x="5105400" y="96497775"/>
          <a:ext cx="1619250" cy="609600"/>
        </a:xfrm>
        <a:prstGeom prst="rect">
          <a:avLst/>
        </a:prstGeom>
        <a:solidFill>
          <a:srgbClr val="FFCC00"/>
        </a:solidFill>
        <a:ln w="9525"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Traiga los datos desde el Generado y active:
</a:t>
          </a:r>
          <a:r>
            <a:rPr lang="en-US" cap="none" sz="800" b="1" i="1" u="none" baseline="0">
              <a:solidFill>
                <a:srgbClr val="FF0000"/>
              </a:solidFill>
              <a:latin typeface="Arial"/>
              <a:ea typeface="Arial"/>
              <a:cs typeface="Arial"/>
            </a:rPr>
            <a:t>Edición / Pegado especial / Valores</a:t>
          </a:r>
        </a:p>
      </xdr:txBody>
    </xdr:sp>
    <xdr:clientData/>
  </xdr:twoCellAnchor>
  <xdr:twoCellAnchor editAs="oneCell">
    <xdr:from>
      <xdr:col>6</xdr:col>
      <xdr:colOff>0</xdr:colOff>
      <xdr:row>677</xdr:row>
      <xdr:rowOff>0</xdr:rowOff>
    </xdr:from>
    <xdr:to>
      <xdr:col>12</xdr:col>
      <xdr:colOff>257175</xdr:colOff>
      <xdr:row>688</xdr:row>
      <xdr:rowOff>0</xdr:rowOff>
    </xdr:to>
    <xdr:pic>
      <xdr:nvPicPr>
        <xdr:cNvPr id="36" name="Picture 63"/>
        <xdr:cNvPicPr preferRelativeResize="1">
          <a:picLocks noChangeAspect="1"/>
        </xdr:cNvPicPr>
      </xdr:nvPicPr>
      <xdr:blipFill>
        <a:blip r:embed="rId32"/>
        <a:stretch>
          <a:fillRect/>
        </a:stretch>
      </xdr:blipFill>
      <xdr:spPr>
        <a:xfrm>
          <a:off x="5438775" y="109899450"/>
          <a:ext cx="4829175" cy="1809750"/>
        </a:xfrm>
        <a:prstGeom prst="rect">
          <a:avLst/>
        </a:prstGeom>
        <a:noFill/>
        <a:ln w="1" cmpd="sng">
          <a:noFill/>
        </a:ln>
      </xdr:spPr>
    </xdr:pic>
    <xdr:clientData/>
  </xdr:twoCellAnchor>
  <xdr:twoCellAnchor editAs="oneCell">
    <xdr:from>
      <xdr:col>4</xdr:col>
      <xdr:colOff>523875</xdr:colOff>
      <xdr:row>715</xdr:row>
      <xdr:rowOff>57150</xdr:rowOff>
    </xdr:from>
    <xdr:to>
      <xdr:col>7</xdr:col>
      <xdr:colOff>171450</xdr:colOff>
      <xdr:row>717</xdr:row>
      <xdr:rowOff>142875</xdr:rowOff>
    </xdr:to>
    <xdr:pic>
      <xdr:nvPicPr>
        <xdr:cNvPr id="37" name="Picture 65"/>
        <xdr:cNvPicPr preferRelativeResize="1">
          <a:picLocks noChangeAspect="1"/>
        </xdr:cNvPicPr>
      </xdr:nvPicPr>
      <xdr:blipFill>
        <a:blip r:embed="rId33"/>
        <a:stretch>
          <a:fillRect/>
        </a:stretch>
      </xdr:blipFill>
      <xdr:spPr>
        <a:xfrm>
          <a:off x="4438650" y="116166900"/>
          <a:ext cx="1933575" cy="409575"/>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723900</xdr:colOff>
      <xdr:row>726</xdr:row>
      <xdr:rowOff>85725</xdr:rowOff>
    </xdr:from>
    <xdr:to>
      <xdr:col>7</xdr:col>
      <xdr:colOff>219075</xdr:colOff>
      <xdr:row>728</xdr:row>
      <xdr:rowOff>123825</xdr:rowOff>
    </xdr:to>
    <xdr:pic>
      <xdr:nvPicPr>
        <xdr:cNvPr id="38" name="Picture 66"/>
        <xdr:cNvPicPr preferRelativeResize="1">
          <a:picLocks noChangeAspect="1"/>
        </xdr:cNvPicPr>
      </xdr:nvPicPr>
      <xdr:blipFill>
        <a:blip r:embed="rId34"/>
        <a:stretch>
          <a:fillRect/>
        </a:stretch>
      </xdr:blipFill>
      <xdr:spPr>
        <a:xfrm>
          <a:off x="4638675" y="117976650"/>
          <a:ext cx="1781175" cy="361950"/>
        </a:xfrm>
        <a:prstGeom prst="rect">
          <a:avLst/>
        </a:prstGeom>
        <a:solidFill>
          <a:srgbClr val="CCFFCC"/>
        </a:solidFill>
        <a:ln w="9525" cmpd="sng">
          <a:solidFill>
            <a:srgbClr val="FF00FF"/>
          </a:solidFill>
          <a:headEnd type="none"/>
          <a:tailEnd type="none"/>
        </a:ln>
      </xdr:spPr>
    </xdr:pic>
    <xdr:clientData/>
  </xdr:twoCellAnchor>
  <xdr:twoCellAnchor>
    <xdr:from>
      <xdr:col>1</xdr:col>
      <xdr:colOff>400050</xdr:colOff>
      <xdr:row>975</xdr:row>
      <xdr:rowOff>114300</xdr:rowOff>
    </xdr:from>
    <xdr:to>
      <xdr:col>6</xdr:col>
      <xdr:colOff>333375</xdr:colOff>
      <xdr:row>992</xdr:row>
      <xdr:rowOff>133350</xdr:rowOff>
    </xdr:to>
    <xdr:graphicFrame>
      <xdr:nvGraphicFramePr>
        <xdr:cNvPr id="39" name="Chart 71"/>
        <xdr:cNvGraphicFramePr/>
      </xdr:nvGraphicFramePr>
      <xdr:xfrm>
        <a:off x="1952625" y="158572200"/>
        <a:ext cx="3819525" cy="2771775"/>
      </xdr:xfrm>
      <a:graphic>
        <a:graphicData uri="http://schemas.openxmlformats.org/drawingml/2006/chart">
          <c:chart xmlns:c="http://schemas.openxmlformats.org/drawingml/2006/chart" r:id="rId35"/>
        </a:graphicData>
      </a:graphic>
    </xdr:graphicFrame>
    <xdr:clientData/>
  </xdr:twoCellAnchor>
  <xdr:twoCellAnchor editAs="oneCell">
    <xdr:from>
      <xdr:col>8</xdr:col>
      <xdr:colOff>190500</xdr:colOff>
      <xdr:row>828</xdr:row>
      <xdr:rowOff>104775</xdr:rowOff>
    </xdr:from>
    <xdr:to>
      <xdr:col>11</xdr:col>
      <xdr:colOff>457200</xdr:colOff>
      <xdr:row>829</xdr:row>
      <xdr:rowOff>142875</xdr:rowOff>
    </xdr:to>
    <xdr:pic>
      <xdr:nvPicPr>
        <xdr:cNvPr id="40" name="Picture 80"/>
        <xdr:cNvPicPr preferRelativeResize="1">
          <a:picLocks noChangeAspect="1"/>
        </xdr:cNvPicPr>
      </xdr:nvPicPr>
      <xdr:blipFill>
        <a:blip r:embed="rId36"/>
        <a:stretch>
          <a:fillRect/>
        </a:stretch>
      </xdr:blipFill>
      <xdr:spPr>
        <a:xfrm>
          <a:off x="7153275" y="134597775"/>
          <a:ext cx="2552700" cy="200025"/>
        </a:xfrm>
        <a:prstGeom prst="rect">
          <a:avLst/>
        </a:prstGeom>
        <a:solidFill>
          <a:srgbClr val="FFFF99"/>
        </a:solidFill>
        <a:ln w="9525" cmpd="sng">
          <a:solidFill>
            <a:srgbClr val="FF00FF"/>
          </a:solidFill>
          <a:headEnd type="none"/>
          <a:tailEnd type="none"/>
        </a:ln>
      </xdr:spPr>
    </xdr:pic>
    <xdr:clientData/>
  </xdr:twoCellAnchor>
  <xdr:twoCellAnchor editAs="oneCell">
    <xdr:from>
      <xdr:col>8</xdr:col>
      <xdr:colOff>0</xdr:colOff>
      <xdr:row>965</xdr:row>
      <xdr:rowOff>142875</xdr:rowOff>
    </xdr:from>
    <xdr:to>
      <xdr:col>10</xdr:col>
      <xdr:colOff>581025</xdr:colOff>
      <xdr:row>966</xdr:row>
      <xdr:rowOff>133350</xdr:rowOff>
    </xdr:to>
    <xdr:pic>
      <xdr:nvPicPr>
        <xdr:cNvPr id="41" name="Picture 81"/>
        <xdr:cNvPicPr preferRelativeResize="1">
          <a:picLocks noChangeAspect="1"/>
        </xdr:cNvPicPr>
      </xdr:nvPicPr>
      <xdr:blipFill>
        <a:blip r:embed="rId37"/>
        <a:stretch>
          <a:fillRect/>
        </a:stretch>
      </xdr:blipFill>
      <xdr:spPr>
        <a:xfrm>
          <a:off x="6962775" y="156962475"/>
          <a:ext cx="2105025" cy="152400"/>
        </a:xfrm>
        <a:prstGeom prst="rect">
          <a:avLst/>
        </a:prstGeom>
        <a:solidFill>
          <a:srgbClr val="CCFFCC"/>
        </a:solidFill>
        <a:ln w="9525" cmpd="sng">
          <a:solidFill>
            <a:srgbClr val="FF00FF"/>
          </a:solidFill>
          <a:headEnd type="none"/>
          <a:tailEnd type="none"/>
        </a:ln>
      </xdr:spPr>
    </xdr:pic>
    <xdr:clientData/>
  </xdr:twoCellAnchor>
  <xdr:twoCellAnchor>
    <xdr:from>
      <xdr:col>7</xdr:col>
      <xdr:colOff>104775</xdr:colOff>
      <xdr:row>975</xdr:row>
      <xdr:rowOff>133350</xdr:rowOff>
    </xdr:from>
    <xdr:to>
      <xdr:col>12</xdr:col>
      <xdr:colOff>85725</xdr:colOff>
      <xdr:row>993</xdr:row>
      <xdr:rowOff>19050</xdr:rowOff>
    </xdr:to>
    <xdr:graphicFrame>
      <xdr:nvGraphicFramePr>
        <xdr:cNvPr id="42" name="Chart 86"/>
        <xdr:cNvGraphicFramePr/>
      </xdr:nvGraphicFramePr>
      <xdr:xfrm>
        <a:off x="6305550" y="158591250"/>
        <a:ext cx="3790950" cy="2800350"/>
      </xdr:xfrm>
      <a:graphic>
        <a:graphicData uri="http://schemas.openxmlformats.org/drawingml/2006/chart">
          <c:chart xmlns:c="http://schemas.openxmlformats.org/drawingml/2006/chart" r:id="rId38"/>
        </a:graphicData>
      </a:graphic>
    </xdr:graphicFrame>
    <xdr:clientData/>
  </xdr:twoCellAnchor>
  <xdr:twoCellAnchor editAs="oneCell">
    <xdr:from>
      <xdr:col>8</xdr:col>
      <xdr:colOff>133350</xdr:colOff>
      <xdr:row>996</xdr:row>
      <xdr:rowOff>76200</xdr:rowOff>
    </xdr:from>
    <xdr:to>
      <xdr:col>14</xdr:col>
      <xdr:colOff>409575</xdr:colOff>
      <xdr:row>1007</xdr:row>
      <xdr:rowOff>85725</xdr:rowOff>
    </xdr:to>
    <xdr:pic>
      <xdr:nvPicPr>
        <xdr:cNvPr id="43" name="Picture 87"/>
        <xdr:cNvPicPr preferRelativeResize="1">
          <a:picLocks noChangeAspect="1"/>
        </xdr:cNvPicPr>
      </xdr:nvPicPr>
      <xdr:blipFill>
        <a:blip r:embed="rId39"/>
        <a:stretch>
          <a:fillRect/>
        </a:stretch>
      </xdr:blipFill>
      <xdr:spPr>
        <a:xfrm>
          <a:off x="7096125" y="161934525"/>
          <a:ext cx="4848225" cy="1809750"/>
        </a:xfrm>
        <a:prstGeom prst="rect">
          <a:avLst/>
        </a:prstGeom>
        <a:noFill/>
        <a:ln w="1" cmpd="sng">
          <a:noFill/>
        </a:ln>
      </xdr:spPr>
    </xdr:pic>
    <xdr:clientData/>
  </xdr:twoCellAnchor>
  <xdr:twoCellAnchor>
    <xdr:from>
      <xdr:col>1</xdr:col>
      <xdr:colOff>257175</xdr:colOff>
      <xdr:row>848</xdr:row>
      <xdr:rowOff>47625</xdr:rowOff>
    </xdr:from>
    <xdr:to>
      <xdr:col>7</xdr:col>
      <xdr:colOff>466725</xdr:colOff>
      <xdr:row>866</xdr:row>
      <xdr:rowOff>133350</xdr:rowOff>
    </xdr:to>
    <xdr:graphicFrame>
      <xdr:nvGraphicFramePr>
        <xdr:cNvPr id="44" name="Chart 89"/>
        <xdr:cNvGraphicFramePr/>
      </xdr:nvGraphicFramePr>
      <xdr:xfrm>
        <a:off x="1809750" y="137817225"/>
        <a:ext cx="4857750" cy="3000375"/>
      </xdr:xfrm>
      <a:graphic>
        <a:graphicData uri="http://schemas.openxmlformats.org/drawingml/2006/chart">
          <c:chart xmlns:c="http://schemas.openxmlformats.org/drawingml/2006/chart" r:id="rId40"/>
        </a:graphicData>
      </a:graphic>
    </xdr:graphicFrame>
    <xdr:clientData/>
  </xdr:twoCellAnchor>
  <xdr:twoCellAnchor>
    <xdr:from>
      <xdr:col>8</xdr:col>
      <xdr:colOff>400050</xdr:colOff>
      <xdr:row>848</xdr:row>
      <xdr:rowOff>47625</xdr:rowOff>
    </xdr:from>
    <xdr:to>
      <xdr:col>13</xdr:col>
      <xdr:colOff>514350</xdr:colOff>
      <xdr:row>866</xdr:row>
      <xdr:rowOff>114300</xdr:rowOff>
    </xdr:to>
    <xdr:graphicFrame>
      <xdr:nvGraphicFramePr>
        <xdr:cNvPr id="45" name="Chart 90"/>
        <xdr:cNvGraphicFramePr/>
      </xdr:nvGraphicFramePr>
      <xdr:xfrm>
        <a:off x="7362825" y="137817225"/>
        <a:ext cx="3924300" cy="2981325"/>
      </xdr:xfrm>
      <a:graphic>
        <a:graphicData uri="http://schemas.openxmlformats.org/drawingml/2006/chart">
          <c:chart xmlns:c="http://schemas.openxmlformats.org/drawingml/2006/chart" r:id="rId41"/>
        </a:graphicData>
      </a:graphic>
    </xdr:graphicFrame>
    <xdr:clientData/>
  </xdr:twoCellAnchor>
  <xdr:twoCellAnchor>
    <xdr:from>
      <xdr:col>1</xdr:col>
      <xdr:colOff>123825</xdr:colOff>
      <xdr:row>879</xdr:row>
      <xdr:rowOff>104775</xdr:rowOff>
    </xdr:from>
    <xdr:to>
      <xdr:col>5</xdr:col>
      <xdr:colOff>742950</xdr:colOff>
      <xdr:row>896</xdr:row>
      <xdr:rowOff>28575</xdr:rowOff>
    </xdr:to>
    <xdr:graphicFrame>
      <xdr:nvGraphicFramePr>
        <xdr:cNvPr id="46" name="Chart 92"/>
        <xdr:cNvGraphicFramePr/>
      </xdr:nvGraphicFramePr>
      <xdr:xfrm>
        <a:off x="1676400" y="142932150"/>
        <a:ext cx="3743325" cy="2676525"/>
      </xdr:xfrm>
      <a:graphic>
        <a:graphicData uri="http://schemas.openxmlformats.org/drawingml/2006/chart">
          <c:chart xmlns:c="http://schemas.openxmlformats.org/drawingml/2006/chart" r:id="rId42"/>
        </a:graphicData>
      </a:graphic>
    </xdr:graphicFrame>
    <xdr:clientData/>
  </xdr:twoCellAnchor>
  <xdr:twoCellAnchor>
    <xdr:from>
      <xdr:col>6</xdr:col>
      <xdr:colOff>219075</xdr:colOff>
      <xdr:row>879</xdr:row>
      <xdr:rowOff>114300</xdr:rowOff>
    </xdr:from>
    <xdr:to>
      <xdr:col>11</xdr:col>
      <xdr:colOff>200025</xdr:colOff>
      <xdr:row>896</xdr:row>
      <xdr:rowOff>57150</xdr:rowOff>
    </xdr:to>
    <xdr:graphicFrame>
      <xdr:nvGraphicFramePr>
        <xdr:cNvPr id="47" name="Chart 93"/>
        <xdr:cNvGraphicFramePr/>
      </xdr:nvGraphicFramePr>
      <xdr:xfrm>
        <a:off x="5657850" y="142941675"/>
        <a:ext cx="3790950" cy="2695575"/>
      </xdr:xfrm>
      <a:graphic>
        <a:graphicData uri="http://schemas.openxmlformats.org/drawingml/2006/chart">
          <c:chart xmlns:c="http://schemas.openxmlformats.org/drawingml/2006/chart" r:id="rId43"/>
        </a:graphicData>
      </a:graphic>
    </xdr:graphicFrame>
    <xdr:clientData/>
  </xdr:twoCellAnchor>
  <xdr:twoCellAnchor>
    <xdr:from>
      <xdr:col>1</xdr:col>
      <xdr:colOff>152400</xdr:colOff>
      <xdr:row>909</xdr:row>
      <xdr:rowOff>28575</xdr:rowOff>
    </xdr:from>
    <xdr:to>
      <xdr:col>6</xdr:col>
      <xdr:colOff>371475</xdr:colOff>
      <xdr:row>927</xdr:row>
      <xdr:rowOff>85725</xdr:rowOff>
    </xdr:to>
    <xdr:graphicFrame>
      <xdr:nvGraphicFramePr>
        <xdr:cNvPr id="48" name="Chart 95"/>
        <xdr:cNvGraphicFramePr/>
      </xdr:nvGraphicFramePr>
      <xdr:xfrm>
        <a:off x="1704975" y="147742275"/>
        <a:ext cx="4105275" cy="2971800"/>
      </xdr:xfrm>
      <a:graphic>
        <a:graphicData uri="http://schemas.openxmlformats.org/drawingml/2006/chart">
          <c:chart xmlns:c="http://schemas.openxmlformats.org/drawingml/2006/chart" r:id="rId44"/>
        </a:graphicData>
      </a:graphic>
    </xdr:graphicFrame>
    <xdr:clientData/>
  </xdr:twoCellAnchor>
  <xdr:twoCellAnchor>
    <xdr:from>
      <xdr:col>7</xdr:col>
      <xdr:colOff>561975</xdr:colOff>
      <xdr:row>909</xdr:row>
      <xdr:rowOff>28575</xdr:rowOff>
    </xdr:from>
    <xdr:to>
      <xdr:col>12</xdr:col>
      <xdr:colOff>733425</xdr:colOff>
      <xdr:row>927</xdr:row>
      <xdr:rowOff>95250</xdr:rowOff>
    </xdr:to>
    <xdr:graphicFrame>
      <xdr:nvGraphicFramePr>
        <xdr:cNvPr id="49" name="Chart 96"/>
        <xdr:cNvGraphicFramePr/>
      </xdr:nvGraphicFramePr>
      <xdr:xfrm>
        <a:off x="6762750" y="147742275"/>
        <a:ext cx="3981450" cy="2981325"/>
      </xdr:xfrm>
      <a:graphic>
        <a:graphicData uri="http://schemas.openxmlformats.org/drawingml/2006/chart">
          <c:chart xmlns:c="http://schemas.openxmlformats.org/drawingml/2006/chart" r:id="rId45"/>
        </a:graphicData>
      </a:graphic>
    </xdr:graphicFrame>
    <xdr:clientData/>
  </xdr:twoCellAnchor>
  <xdr:twoCellAnchor>
    <xdr:from>
      <xdr:col>0</xdr:col>
      <xdr:colOff>1362075</xdr:colOff>
      <xdr:row>942</xdr:row>
      <xdr:rowOff>114300</xdr:rowOff>
    </xdr:from>
    <xdr:to>
      <xdr:col>6</xdr:col>
      <xdr:colOff>400050</xdr:colOff>
      <xdr:row>960</xdr:row>
      <xdr:rowOff>95250</xdr:rowOff>
    </xdr:to>
    <xdr:graphicFrame>
      <xdr:nvGraphicFramePr>
        <xdr:cNvPr id="50" name="Chart 97"/>
        <xdr:cNvGraphicFramePr/>
      </xdr:nvGraphicFramePr>
      <xdr:xfrm>
        <a:off x="1362075" y="153200100"/>
        <a:ext cx="4476750" cy="2895600"/>
      </xdr:xfrm>
      <a:graphic>
        <a:graphicData uri="http://schemas.openxmlformats.org/drawingml/2006/chart">
          <c:chart xmlns:c="http://schemas.openxmlformats.org/drawingml/2006/chart" r:id="rId46"/>
        </a:graphicData>
      </a:graphic>
    </xdr:graphicFrame>
    <xdr:clientData/>
  </xdr:twoCellAnchor>
  <xdr:twoCellAnchor>
    <xdr:from>
      <xdr:col>6</xdr:col>
      <xdr:colOff>609600</xdr:colOff>
      <xdr:row>942</xdr:row>
      <xdr:rowOff>123825</xdr:rowOff>
    </xdr:from>
    <xdr:to>
      <xdr:col>12</xdr:col>
      <xdr:colOff>419100</xdr:colOff>
      <xdr:row>960</xdr:row>
      <xdr:rowOff>152400</xdr:rowOff>
    </xdr:to>
    <xdr:graphicFrame>
      <xdr:nvGraphicFramePr>
        <xdr:cNvPr id="51" name="Chart 99"/>
        <xdr:cNvGraphicFramePr/>
      </xdr:nvGraphicFramePr>
      <xdr:xfrm>
        <a:off x="6048375" y="153209625"/>
        <a:ext cx="4381500" cy="2943225"/>
      </xdr:xfrm>
      <a:graphic>
        <a:graphicData uri="http://schemas.openxmlformats.org/drawingml/2006/chart">
          <c:chart xmlns:c="http://schemas.openxmlformats.org/drawingml/2006/chart" r:id="rId47"/>
        </a:graphicData>
      </a:graphic>
    </xdr:graphicFrame>
    <xdr:clientData/>
  </xdr:twoCellAnchor>
  <xdr:twoCellAnchor editAs="oneCell">
    <xdr:from>
      <xdr:col>11</xdr:col>
      <xdr:colOff>552450</xdr:colOff>
      <xdr:row>830</xdr:row>
      <xdr:rowOff>0</xdr:rowOff>
    </xdr:from>
    <xdr:to>
      <xdr:col>15</xdr:col>
      <xdr:colOff>66675</xdr:colOff>
      <xdr:row>831</xdr:row>
      <xdr:rowOff>28575</xdr:rowOff>
    </xdr:to>
    <xdr:pic>
      <xdr:nvPicPr>
        <xdr:cNvPr id="52" name="Picture 101"/>
        <xdr:cNvPicPr preferRelativeResize="1">
          <a:picLocks noChangeAspect="1"/>
        </xdr:cNvPicPr>
      </xdr:nvPicPr>
      <xdr:blipFill>
        <a:blip r:embed="rId48"/>
        <a:stretch>
          <a:fillRect/>
        </a:stretch>
      </xdr:blipFill>
      <xdr:spPr>
        <a:xfrm>
          <a:off x="9801225" y="134816850"/>
          <a:ext cx="2562225" cy="190500"/>
        </a:xfrm>
        <a:prstGeom prst="rect">
          <a:avLst/>
        </a:prstGeom>
        <a:solidFill>
          <a:srgbClr val="CCFFCC"/>
        </a:solidFill>
        <a:ln w="9525" cmpd="sng">
          <a:solidFill>
            <a:srgbClr val="FF00FF"/>
          </a:solidFill>
          <a:headEnd type="none"/>
          <a:tailEnd type="none"/>
        </a:ln>
      </xdr:spPr>
    </xdr:pic>
    <xdr:clientData/>
  </xdr:twoCellAnchor>
  <xdr:twoCellAnchor editAs="oneCell">
    <xdr:from>
      <xdr:col>8</xdr:col>
      <xdr:colOff>171450</xdr:colOff>
      <xdr:row>830</xdr:row>
      <xdr:rowOff>152400</xdr:rowOff>
    </xdr:from>
    <xdr:to>
      <xdr:col>11</xdr:col>
      <xdr:colOff>371475</xdr:colOff>
      <xdr:row>832</xdr:row>
      <xdr:rowOff>47625</xdr:rowOff>
    </xdr:to>
    <xdr:pic>
      <xdr:nvPicPr>
        <xdr:cNvPr id="53" name="Picture 102"/>
        <xdr:cNvPicPr preferRelativeResize="1">
          <a:picLocks noChangeAspect="1"/>
        </xdr:cNvPicPr>
      </xdr:nvPicPr>
      <xdr:blipFill>
        <a:blip r:embed="rId49"/>
        <a:stretch>
          <a:fillRect/>
        </a:stretch>
      </xdr:blipFill>
      <xdr:spPr>
        <a:xfrm>
          <a:off x="7134225" y="134969250"/>
          <a:ext cx="2486025" cy="219075"/>
        </a:xfrm>
        <a:prstGeom prst="rect">
          <a:avLst/>
        </a:prstGeom>
        <a:solidFill>
          <a:srgbClr val="CCFFFF"/>
        </a:solidFill>
        <a:ln w="9525" cmpd="sng">
          <a:solidFill>
            <a:srgbClr val="FF00FF"/>
          </a:solidFill>
          <a:headEnd type="none"/>
          <a:tailEnd type="none"/>
        </a:ln>
      </xdr:spPr>
    </xdr:pic>
    <xdr:clientData/>
  </xdr:twoCellAnchor>
  <xdr:twoCellAnchor editAs="oneCell">
    <xdr:from>
      <xdr:col>11</xdr:col>
      <xdr:colOff>542925</xdr:colOff>
      <xdr:row>832</xdr:row>
      <xdr:rowOff>19050</xdr:rowOff>
    </xdr:from>
    <xdr:to>
      <xdr:col>14</xdr:col>
      <xdr:colOff>161925</xdr:colOff>
      <xdr:row>833</xdr:row>
      <xdr:rowOff>9525</xdr:rowOff>
    </xdr:to>
    <xdr:pic>
      <xdr:nvPicPr>
        <xdr:cNvPr id="54" name="Picture 104"/>
        <xdr:cNvPicPr preferRelativeResize="1">
          <a:picLocks noChangeAspect="1"/>
        </xdr:cNvPicPr>
      </xdr:nvPicPr>
      <xdr:blipFill>
        <a:blip r:embed="rId50"/>
        <a:stretch>
          <a:fillRect/>
        </a:stretch>
      </xdr:blipFill>
      <xdr:spPr>
        <a:xfrm>
          <a:off x="9791700" y="135159750"/>
          <a:ext cx="1905000" cy="152400"/>
        </a:xfrm>
        <a:prstGeom prst="rect">
          <a:avLst/>
        </a:prstGeom>
        <a:solidFill>
          <a:srgbClr val="99CCFF"/>
        </a:solidFill>
        <a:ln w="9525" cmpd="sng">
          <a:solidFill>
            <a:srgbClr val="FF00FF"/>
          </a:solidFill>
          <a:headEnd type="none"/>
          <a:tailEnd type="none"/>
        </a:ln>
      </xdr:spPr>
    </xdr:pic>
    <xdr:clientData/>
  </xdr:twoCellAnchor>
  <xdr:twoCellAnchor editAs="oneCell">
    <xdr:from>
      <xdr:col>8</xdr:col>
      <xdr:colOff>0</xdr:colOff>
      <xdr:row>968</xdr:row>
      <xdr:rowOff>0</xdr:rowOff>
    </xdr:from>
    <xdr:to>
      <xdr:col>9</xdr:col>
      <xdr:colOff>485775</xdr:colOff>
      <xdr:row>969</xdr:row>
      <xdr:rowOff>104775</xdr:rowOff>
    </xdr:to>
    <xdr:pic>
      <xdr:nvPicPr>
        <xdr:cNvPr id="55" name="Picture 108"/>
        <xdr:cNvPicPr preferRelativeResize="1">
          <a:picLocks noChangeAspect="1"/>
        </xdr:cNvPicPr>
      </xdr:nvPicPr>
      <xdr:blipFill>
        <a:blip r:embed="rId51"/>
        <a:stretch>
          <a:fillRect/>
        </a:stretch>
      </xdr:blipFill>
      <xdr:spPr>
        <a:xfrm>
          <a:off x="6962775" y="157314900"/>
          <a:ext cx="1247775" cy="276225"/>
        </a:xfrm>
        <a:prstGeom prst="rect">
          <a:avLst/>
        </a:prstGeom>
        <a:solidFill>
          <a:srgbClr val="FFCC99"/>
        </a:solidFill>
        <a:ln w="9525" cmpd="sng">
          <a:solidFill>
            <a:srgbClr val="FF00FF"/>
          </a:solidFill>
          <a:headEnd type="none"/>
          <a:tailEnd type="none"/>
        </a:ln>
      </xdr:spPr>
    </xdr:pic>
    <xdr:clientData/>
  </xdr:twoCellAnchor>
  <xdr:twoCellAnchor>
    <xdr:from>
      <xdr:col>1</xdr:col>
      <xdr:colOff>123825</xdr:colOff>
      <xdr:row>1110</xdr:row>
      <xdr:rowOff>28575</xdr:rowOff>
    </xdr:from>
    <xdr:to>
      <xdr:col>7</xdr:col>
      <xdr:colOff>600075</xdr:colOff>
      <xdr:row>1129</xdr:row>
      <xdr:rowOff>152400</xdr:rowOff>
    </xdr:to>
    <xdr:graphicFrame>
      <xdr:nvGraphicFramePr>
        <xdr:cNvPr id="56" name="Chart 171"/>
        <xdr:cNvGraphicFramePr/>
      </xdr:nvGraphicFramePr>
      <xdr:xfrm>
        <a:off x="1676400" y="180479700"/>
        <a:ext cx="5124450" cy="3200400"/>
      </xdr:xfrm>
      <a:graphic>
        <a:graphicData uri="http://schemas.openxmlformats.org/drawingml/2006/chart">
          <c:chart xmlns:c="http://schemas.openxmlformats.org/drawingml/2006/chart" r:id="rId52"/>
        </a:graphicData>
      </a:graphic>
    </xdr:graphicFrame>
    <xdr:clientData/>
  </xdr:twoCellAnchor>
  <xdr:twoCellAnchor editAs="oneCell">
    <xdr:from>
      <xdr:col>6</xdr:col>
      <xdr:colOff>142875</xdr:colOff>
      <xdr:row>1104</xdr:row>
      <xdr:rowOff>0</xdr:rowOff>
    </xdr:from>
    <xdr:to>
      <xdr:col>8</xdr:col>
      <xdr:colOff>600075</xdr:colOff>
      <xdr:row>1105</xdr:row>
      <xdr:rowOff>28575</xdr:rowOff>
    </xdr:to>
    <xdr:pic>
      <xdr:nvPicPr>
        <xdr:cNvPr id="57" name="Picture 175"/>
        <xdr:cNvPicPr preferRelativeResize="1">
          <a:picLocks noChangeAspect="1"/>
        </xdr:cNvPicPr>
      </xdr:nvPicPr>
      <xdr:blipFill>
        <a:blip r:embed="rId53"/>
        <a:stretch>
          <a:fillRect/>
        </a:stretch>
      </xdr:blipFill>
      <xdr:spPr>
        <a:xfrm>
          <a:off x="5581650" y="179470050"/>
          <a:ext cx="1981200" cy="200025"/>
        </a:xfrm>
        <a:prstGeom prst="rect">
          <a:avLst/>
        </a:prstGeom>
        <a:solidFill>
          <a:srgbClr val="CCFFCC"/>
        </a:solidFill>
        <a:ln w="9525" cmpd="sng">
          <a:solidFill>
            <a:srgbClr val="FF00FF"/>
          </a:solidFill>
          <a:headEnd type="none"/>
          <a:tailEnd type="none"/>
        </a:ln>
      </xdr:spPr>
    </xdr:pic>
    <xdr:clientData/>
  </xdr:twoCellAnchor>
  <xdr:twoCellAnchor editAs="oneCell">
    <xdr:from>
      <xdr:col>2</xdr:col>
      <xdr:colOff>361950</xdr:colOff>
      <xdr:row>1133</xdr:row>
      <xdr:rowOff>19050</xdr:rowOff>
    </xdr:from>
    <xdr:to>
      <xdr:col>4</xdr:col>
      <xdr:colOff>228600</xdr:colOff>
      <xdr:row>1134</xdr:row>
      <xdr:rowOff>142875</xdr:rowOff>
    </xdr:to>
    <xdr:pic>
      <xdr:nvPicPr>
        <xdr:cNvPr id="58" name="Picture 176"/>
        <xdr:cNvPicPr preferRelativeResize="1">
          <a:picLocks noChangeAspect="1"/>
        </xdr:cNvPicPr>
      </xdr:nvPicPr>
      <xdr:blipFill>
        <a:blip r:embed="rId54"/>
        <a:stretch>
          <a:fillRect/>
        </a:stretch>
      </xdr:blipFill>
      <xdr:spPr>
        <a:xfrm>
          <a:off x="2752725" y="184194450"/>
          <a:ext cx="1390650" cy="285750"/>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200025</xdr:colOff>
      <xdr:row>1134</xdr:row>
      <xdr:rowOff>133350</xdr:rowOff>
    </xdr:from>
    <xdr:to>
      <xdr:col>6</xdr:col>
      <xdr:colOff>638175</xdr:colOff>
      <xdr:row>1135</xdr:row>
      <xdr:rowOff>133350</xdr:rowOff>
    </xdr:to>
    <xdr:pic>
      <xdr:nvPicPr>
        <xdr:cNvPr id="59" name="Picture 177"/>
        <xdr:cNvPicPr preferRelativeResize="1">
          <a:picLocks noChangeAspect="1"/>
        </xdr:cNvPicPr>
      </xdr:nvPicPr>
      <xdr:blipFill>
        <a:blip r:embed="rId55"/>
        <a:stretch>
          <a:fillRect/>
        </a:stretch>
      </xdr:blipFill>
      <xdr:spPr>
        <a:xfrm>
          <a:off x="4114800" y="184470675"/>
          <a:ext cx="1962150" cy="161925"/>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0</xdr:colOff>
      <xdr:row>1219</xdr:row>
      <xdr:rowOff>66675</xdr:rowOff>
    </xdr:from>
    <xdr:to>
      <xdr:col>7</xdr:col>
      <xdr:colOff>552450</xdr:colOff>
      <xdr:row>1222</xdr:row>
      <xdr:rowOff>76200</xdr:rowOff>
    </xdr:to>
    <xdr:pic>
      <xdr:nvPicPr>
        <xdr:cNvPr id="60" name="Picture 183"/>
        <xdr:cNvPicPr preferRelativeResize="1">
          <a:picLocks noChangeAspect="1"/>
        </xdr:cNvPicPr>
      </xdr:nvPicPr>
      <xdr:blipFill>
        <a:blip r:embed="rId56"/>
        <a:stretch>
          <a:fillRect/>
        </a:stretch>
      </xdr:blipFill>
      <xdr:spPr>
        <a:xfrm>
          <a:off x="4676775" y="198291450"/>
          <a:ext cx="2076450" cy="49530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0</xdr:colOff>
      <xdr:row>1223</xdr:row>
      <xdr:rowOff>19050</xdr:rowOff>
    </xdr:from>
    <xdr:to>
      <xdr:col>7</xdr:col>
      <xdr:colOff>561975</xdr:colOff>
      <xdr:row>1226</xdr:row>
      <xdr:rowOff>0</xdr:rowOff>
    </xdr:to>
    <xdr:pic>
      <xdr:nvPicPr>
        <xdr:cNvPr id="61" name="Picture 184"/>
        <xdr:cNvPicPr preferRelativeResize="1">
          <a:picLocks noChangeAspect="1"/>
        </xdr:cNvPicPr>
      </xdr:nvPicPr>
      <xdr:blipFill>
        <a:blip r:embed="rId57"/>
        <a:stretch>
          <a:fillRect/>
        </a:stretch>
      </xdr:blipFill>
      <xdr:spPr>
        <a:xfrm>
          <a:off x="4676775" y="198891525"/>
          <a:ext cx="2085975" cy="466725"/>
        </a:xfrm>
        <a:prstGeom prst="rect">
          <a:avLst/>
        </a:prstGeom>
        <a:solidFill>
          <a:srgbClr val="CCFFCC"/>
        </a:solidFill>
        <a:ln w="9525" cmpd="sng">
          <a:solidFill>
            <a:srgbClr val="FF00FF"/>
          </a:solidFill>
          <a:headEnd type="none"/>
          <a:tailEnd type="none"/>
        </a:ln>
      </xdr:spPr>
    </xdr:pic>
    <xdr:clientData/>
  </xdr:twoCellAnchor>
  <xdr:twoCellAnchor>
    <xdr:from>
      <xdr:col>1</xdr:col>
      <xdr:colOff>104775</xdr:colOff>
      <xdr:row>1265</xdr:row>
      <xdr:rowOff>114300</xdr:rowOff>
    </xdr:from>
    <xdr:to>
      <xdr:col>7</xdr:col>
      <xdr:colOff>238125</xdr:colOff>
      <xdr:row>1285</xdr:row>
      <xdr:rowOff>104775</xdr:rowOff>
    </xdr:to>
    <xdr:graphicFrame>
      <xdr:nvGraphicFramePr>
        <xdr:cNvPr id="62" name="Chart 185"/>
        <xdr:cNvGraphicFramePr/>
      </xdr:nvGraphicFramePr>
      <xdr:xfrm>
        <a:off x="1657350" y="205806675"/>
        <a:ext cx="4781550" cy="3228975"/>
      </xdr:xfrm>
      <a:graphic>
        <a:graphicData uri="http://schemas.openxmlformats.org/drawingml/2006/chart">
          <c:chart xmlns:c="http://schemas.openxmlformats.org/drawingml/2006/chart" r:id="rId58"/>
        </a:graphicData>
      </a:graphic>
    </xdr:graphicFrame>
    <xdr:clientData/>
  </xdr:twoCellAnchor>
  <xdr:twoCellAnchor editAs="oneCell">
    <xdr:from>
      <xdr:col>3</xdr:col>
      <xdr:colOff>142875</xdr:colOff>
      <xdr:row>1297</xdr:row>
      <xdr:rowOff>123825</xdr:rowOff>
    </xdr:from>
    <xdr:to>
      <xdr:col>7</xdr:col>
      <xdr:colOff>171450</xdr:colOff>
      <xdr:row>1299</xdr:row>
      <xdr:rowOff>133350</xdr:rowOff>
    </xdr:to>
    <xdr:pic>
      <xdr:nvPicPr>
        <xdr:cNvPr id="63" name="Picture 186"/>
        <xdr:cNvPicPr preferRelativeResize="1">
          <a:picLocks noChangeAspect="1"/>
        </xdr:cNvPicPr>
      </xdr:nvPicPr>
      <xdr:blipFill>
        <a:blip r:embed="rId59"/>
        <a:stretch>
          <a:fillRect/>
        </a:stretch>
      </xdr:blipFill>
      <xdr:spPr>
        <a:xfrm>
          <a:off x="3295650" y="211016850"/>
          <a:ext cx="3076575" cy="33337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209550</xdr:colOff>
      <xdr:row>1300</xdr:row>
      <xdr:rowOff>0</xdr:rowOff>
    </xdr:from>
    <xdr:to>
      <xdr:col>7</xdr:col>
      <xdr:colOff>190500</xdr:colOff>
      <xdr:row>1302</xdr:row>
      <xdr:rowOff>47625</xdr:rowOff>
    </xdr:to>
    <xdr:pic>
      <xdr:nvPicPr>
        <xdr:cNvPr id="64" name="Picture 187"/>
        <xdr:cNvPicPr preferRelativeResize="1">
          <a:picLocks noChangeAspect="1"/>
        </xdr:cNvPicPr>
      </xdr:nvPicPr>
      <xdr:blipFill>
        <a:blip r:embed="rId60"/>
        <a:stretch>
          <a:fillRect/>
        </a:stretch>
      </xdr:blipFill>
      <xdr:spPr>
        <a:xfrm>
          <a:off x="3362325" y="211378800"/>
          <a:ext cx="3028950" cy="371475"/>
        </a:xfrm>
        <a:prstGeom prst="rect">
          <a:avLst/>
        </a:prstGeom>
        <a:solidFill>
          <a:srgbClr val="FFFF99"/>
        </a:solidFill>
        <a:ln w="9525" cmpd="sng">
          <a:solidFill>
            <a:srgbClr val="FF00FF"/>
          </a:solidFill>
          <a:headEnd type="none"/>
          <a:tailEnd type="none"/>
        </a:ln>
      </xdr:spPr>
    </xdr:pic>
    <xdr:clientData/>
  </xdr:twoCellAnchor>
  <xdr:twoCellAnchor>
    <xdr:from>
      <xdr:col>1</xdr:col>
      <xdr:colOff>180975</xdr:colOff>
      <xdr:row>1330</xdr:row>
      <xdr:rowOff>85725</xdr:rowOff>
    </xdr:from>
    <xdr:to>
      <xdr:col>7</xdr:col>
      <xdr:colOff>219075</xdr:colOff>
      <xdr:row>1350</xdr:row>
      <xdr:rowOff>104775</xdr:rowOff>
    </xdr:to>
    <xdr:graphicFrame>
      <xdr:nvGraphicFramePr>
        <xdr:cNvPr id="65" name="Chart 189"/>
        <xdr:cNvGraphicFramePr/>
      </xdr:nvGraphicFramePr>
      <xdr:xfrm>
        <a:off x="1733550" y="216369900"/>
        <a:ext cx="4686300" cy="3257550"/>
      </xdr:xfrm>
      <a:graphic>
        <a:graphicData uri="http://schemas.openxmlformats.org/drawingml/2006/chart">
          <c:chart xmlns:c="http://schemas.openxmlformats.org/drawingml/2006/chart" r:id="rId61"/>
        </a:graphicData>
      </a:graphic>
    </xdr:graphicFrame>
    <xdr:clientData/>
  </xdr:twoCellAnchor>
  <xdr:twoCellAnchor editAs="oneCell">
    <xdr:from>
      <xdr:col>2</xdr:col>
      <xdr:colOff>161925</xdr:colOff>
      <xdr:row>539</xdr:row>
      <xdr:rowOff>19050</xdr:rowOff>
    </xdr:from>
    <xdr:to>
      <xdr:col>6</xdr:col>
      <xdr:colOff>666750</xdr:colOff>
      <xdr:row>541</xdr:row>
      <xdr:rowOff>57150</xdr:rowOff>
    </xdr:to>
    <xdr:pic>
      <xdr:nvPicPr>
        <xdr:cNvPr id="66" name="Picture 192"/>
        <xdr:cNvPicPr preferRelativeResize="1">
          <a:picLocks noChangeAspect="1"/>
        </xdr:cNvPicPr>
      </xdr:nvPicPr>
      <xdr:blipFill>
        <a:blip r:embed="rId62"/>
        <a:stretch>
          <a:fillRect/>
        </a:stretch>
      </xdr:blipFill>
      <xdr:spPr>
        <a:xfrm>
          <a:off x="2552700" y="87534750"/>
          <a:ext cx="3552825" cy="361950"/>
        </a:xfrm>
        <a:prstGeom prst="rect">
          <a:avLst/>
        </a:prstGeom>
        <a:noFill/>
        <a:ln w="9525" cmpd="sng">
          <a:noFill/>
        </a:ln>
      </xdr:spPr>
    </xdr:pic>
    <xdr:clientData/>
  </xdr:twoCellAnchor>
  <xdr:twoCellAnchor editAs="oneCell">
    <xdr:from>
      <xdr:col>3</xdr:col>
      <xdr:colOff>47625</xdr:colOff>
      <xdr:row>546</xdr:row>
      <xdr:rowOff>85725</xdr:rowOff>
    </xdr:from>
    <xdr:to>
      <xdr:col>6</xdr:col>
      <xdr:colOff>352425</xdr:colOff>
      <xdr:row>548</xdr:row>
      <xdr:rowOff>85725</xdr:rowOff>
    </xdr:to>
    <xdr:pic>
      <xdr:nvPicPr>
        <xdr:cNvPr id="67" name="Picture 195"/>
        <xdr:cNvPicPr preferRelativeResize="1">
          <a:picLocks noChangeAspect="1"/>
        </xdr:cNvPicPr>
      </xdr:nvPicPr>
      <xdr:blipFill>
        <a:blip r:embed="rId63"/>
        <a:stretch>
          <a:fillRect/>
        </a:stretch>
      </xdr:blipFill>
      <xdr:spPr>
        <a:xfrm>
          <a:off x="3200400" y="88734900"/>
          <a:ext cx="2590800" cy="323850"/>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19050</xdr:colOff>
      <xdr:row>549</xdr:row>
      <xdr:rowOff>28575</xdr:rowOff>
    </xdr:from>
    <xdr:to>
      <xdr:col>4</xdr:col>
      <xdr:colOff>742950</xdr:colOff>
      <xdr:row>550</xdr:row>
      <xdr:rowOff>95250</xdr:rowOff>
    </xdr:to>
    <xdr:pic>
      <xdr:nvPicPr>
        <xdr:cNvPr id="68" name="Picture 196"/>
        <xdr:cNvPicPr preferRelativeResize="1">
          <a:picLocks noChangeAspect="1"/>
        </xdr:cNvPicPr>
      </xdr:nvPicPr>
      <xdr:blipFill>
        <a:blip r:embed="rId64"/>
        <a:stretch>
          <a:fillRect/>
        </a:stretch>
      </xdr:blipFill>
      <xdr:spPr>
        <a:xfrm>
          <a:off x="3171825" y="89163525"/>
          <a:ext cx="1485900" cy="228600"/>
        </a:xfrm>
        <a:prstGeom prst="rect">
          <a:avLst/>
        </a:prstGeom>
        <a:solidFill>
          <a:srgbClr val="FFFF00"/>
        </a:solidFill>
        <a:ln w="9525" cmpd="sng">
          <a:solidFill>
            <a:srgbClr val="FF00FF"/>
          </a:solidFill>
          <a:headEnd type="none"/>
          <a:tailEnd type="none"/>
        </a:ln>
      </xdr:spPr>
    </xdr:pic>
    <xdr:clientData/>
  </xdr:twoCellAnchor>
  <xdr:twoCellAnchor editAs="oneCell">
    <xdr:from>
      <xdr:col>2</xdr:col>
      <xdr:colOff>171450</xdr:colOff>
      <xdr:row>542</xdr:row>
      <xdr:rowOff>28575</xdr:rowOff>
    </xdr:from>
    <xdr:to>
      <xdr:col>5</xdr:col>
      <xdr:colOff>714375</xdr:colOff>
      <xdr:row>544</xdr:row>
      <xdr:rowOff>28575</xdr:rowOff>
    </xdr:to>
    <xdr:pic>
      <xdr:nvPicPr>
        <xdr:cNvPr id="69" name="Picture 197"/>
        <xdr:cNvPicPr preferRelativeResize="1">
          <a:picLocks noChangeAspect="1"/>
        </xdr:cNvPicPr>
      </xdr:nvPicPr>
      <xdr:blipFill>
        <a:blip r:embed="rId65"/>
        <a:stretch>
          <a:fillRect/>
        </a:stretch>
      </xdr:blipFill>
      <xdr:spPr>
        <a:xfrm>
          <a:off x="2562225" y="88030050"/>
          <a:ext cx="2828925" cy="323850"/>
        </a:xfrm>
        <a:prstGeom prst="rect">
          <a:avLst/>
        </a:prstGeom>
        <a:solidFill>
          <a:srgbClr val="CCFFCC"/>
        </a:solidFill>
        <a:ln w="9525" cmpd="sng">
          <a:solidFill>
            <a:srgbClr val="FF00FF"/>
          </a:solidFill>
          <a:headEnd type="none"/>
          <a:tailEnd type="none"/>
        </a:ln>
      </xdr:spPr>
    </xdr:pic>
    <xdr:clientData/>
  </xdr:twoCellAnchor>
  <xdr:twoCellAnchor editAs="oneCell">
    <xdr:from>
      <xdr:col>2</xdr:col>
      <xdr:colOff>171450</xdr:colOff>
      <xdr:row>544</xdr:row>
      <xdr:rowOff>104775</xdr:rowOff>
    </xdr:from>
    <xdr:to>
      <xdr:col>5</xdr:col>
      <xdr:colOff>628650</xdr:colOff>
      <xdr:row>545</xdr:row>
      <xdr:rowOff>123825</xdr:rowOff>
    </xdr:to>
    <xdr:pic>
      <xdr:nvPicPr>
        <xdr:cNvPr id="70" name="Picture 198"/>
        <xdr:cNvPicPr preferRelativeResize="1">
          <a:picLocks noChangeAspect="1"/>
        </xdr:cNvPicPr>
      </xdr:nvPicPr>
      <xdr:blipFill>
        <a:blip r:embed="rId66"/>
        <a:stretch>
          <a:fillRect/>
        </a:stretch>
      </xdr:blipFill>
      <xdr:spPr>
        <a:xfrm>
          <a:off x="2562225" y="88430100"/>
          <a:ext cx="2743200" cy="180975"/>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95250</xdr:colOff>
      <xdr:row>551</xdr:row>
      <xdr:rowOff>0</xdr:rowOff>
    </xdr:from>
    <xdr:to>
      <xdr:col>5</xdr:col>
      <xdr:colOff>523875</xdr:colOff>
      <xdr:row>552</xdr:row>
      <xdr:rowOff>38100</xdr:rowOff>
    </xdr:to>
    <xdr:pic>
      <xdr:nvPicPr>
        <xdr:cNvPr id="71" name="Picture 199"/>
        <xdr:cNvPicPr preferRelativeResize="1">
          <a:picLocks noChangeAspect="1"/>
        </xdr:cNvPicPr>
      </xdr:nvPicPr>
      <xdr:blipFill>
        <a:blip r:embed="rId67"/>
        <a:stretch>
          <a:fillRect/>
        </a:stretch>
      </xdr:blipFill>
      <xdr:spPr>
        <a:xfrm>
          <a:off x="4010025" y="89458800"/>
          <a:ext cx="1190625" cy="20002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304800</xdr:colOff>
      <xdr:row>734</xdr:row>
      <xdr:rowOff>104775</xdr:rowOff>
    </xdr:from>
    <xdr:to>
      <xdr:col>7</xdr:col>
      <xdr:colOff>428625</xdr:colOff>
      <xdr:row>738</xdr:row>
      <xdr:rowOff>152400</xdr:rowOff>
    </xdr:to>
    <xdr:pic>
      <xdr:nvPicPr>
        <xdr:cNvPr id="72" name="Picture 201"/>
        <xdr:cNvPicPr preferRelativeResize="1">
          <a:picLocks noChangeAspect="1"/>
        </xdr:cNvPicPr>
      </xdr:nvPicPr>
      <xdr:blipFill>
        <a:blip r:embed="rId68"/>
        <a:stretch>
          <a:fillRect/>
        </a:stretch>
      </xdr:blipFill>
      <xdr:spPr>
        <a:xfrm>
          <a:off x="3457575" y="119291100"/>
          <a:ext cx="3171825" cy="714375"/>
        </a:xfrm>
        <a:prstGeom prst="rect">
          <a:avLst/>
        </a:prstGeom>
        <a:solidFill>
          <a:srgbClr val="CCFFCC"/>
        </a:solidFill>
        <a:ln w="9525" cmpd="sng">
          <a:solidFill>
            <a:srgbClr val="FF00FF"/>
          </a:solidFill>
          <a:headEnd type="none"/>
          <a:tailEnd type="none"/>
        </a:ln>
      </xdr:spPr>
    </xdr:pic>
    <xdr:clientData/>
  </xdr:twoCellAnchor>
  <xdr:twoCellAnchor editAs="oneCell">
    <xdr:from>
      <xdr:col>8</xdr:col>
      <xdr:colOff>323850</xdr:colOff>
      <xdr:row>734</xdr:row>
      <xdr:rowOff>95250</xdr:rowOff>
    </xdr:from>
    <xdr:to>
      <xdr:col>13</xdr:col>
      <xdr:colOff>304800</xdr:colOff>
      <xdr:row>737</xdr:row>
      <xdr:rowOff>114300</xdr:rowOff>
    </xdr:to>
    <xdr:pic>
      <xdr:nvPicPr>
        <xdr:cNvPr id="73" name="Picture 202"/>
        <xdr:cNvPicPr preferRelativeResize="1">
          <a:picLocks noChangeAspect="1"/>
        </xdr:cNvPicPr>
      </xdr:nvPicPr>
      <xdr:blipFill>
        <a:blip r:embed="rId69"/>
        <a:stretch>
          <a:fillRect/>
        </a:stretch>
      </xdr:blipFill>
      <xdr:spPr>
        <a:xfrm>
          <a:off x="7286625" y="119281575"/>
          <a:ext cx="3790950" cy="523875"/>
        </a:xfrm>
        <a:prstGeom prst="rect">
          <a:avLst/>
        </a:prstGeom>
        <a:solidFill>
          <a:srgbClr val="CCFFCC"/>
        </a:solidFill>
        <a:ln w="9525" cmpd="sng">
          <a:solidFill>
            <a:srgbClr val="FF00FF"/>
          </a:solidFill>
          <a:headEnd type="none"/>
          <a:tailEnd type="none"/>
        </a:ln>
      </xdr:spPr>
    </xdr:pic>
    <xdr:clientData/>
  </xdr:twoCellAnchor>
  <xdr:twoCellAnchor editAs="oneCell">
    <xdr:from>
      <xdr:col>8</xdr:col>
      <xdr:colOff>200025</xdr:colOff>
      <xdr:row>833</xdr:row>
      <xdr:rowOff>76200</xdr:rowOff>
    </xdr:from>
    <xdr:to>
      <xdr:col>12</xdr:col>
      <xdr:colOff>295275</xdr:colOff>
      <xdr:row>835</xdr:row>
      <xdr:rowOff>104775</xdr:rowOff>
    </xdr:to>
    <xdr:pic>
      <xdr:nvPicPr>
        <xdr:cNvPr id="74" name="Picture 203"/>
        <xdr:cNvPicPr preferRelativeResize="1">
          <a:picLocks noChangeAspect="1"/>
        </xdr:cNvPicPr>
      </xdr:nvPicPr>
      <xdr:blipFill>
        <a:blip r:embed="rId70"/>
        <a:stretch>
          <a:fillRect/>
        </a:stretch>
      </xdr:blipFill>
      <xdr:spPr>
        <a:xfrm>
          <a:off x="7162800" y="135378825"/>
          <a:ext cx="3143250" cy="352425"/>
        </a:xfrm>
        <a:prstGeom prst="rect">
          <a:avLst/>
        </a:prstGeom>
        <a:solidFill>
          <a:srgbClr val="FFCC99"/>
        </a:solidFill>
        <a:ln w="9525" cmpd="sng">
          <a:solidFill>
            <a:srgbClr val="FF00FF"/>
          </a:solidFill>
          <a:headEnd type="none"/>
          <a:tailEnd type="none"/>
        </a:ln>
      </xdr:spPr>
    </xdr:pic>
    <xdr:clientData/>
  </xdr:twoCellAnchor>
  <xdr:twoCellAnchor editAs="oneCell">
    <xdr:from>
      <xdr:col>14</xdr:col>
      <xdr:colOff>571500</xdr:colOff>
      <xdr:row>994</xdr:row>
      <xdr:rowOff>123825</xdr:rowOff>
    </xdr:from>
    <xdr:to>
      <xdr:col>19</xdr:col>
      <xdr:colOff>581025</xdr:colOff>
      <xdr:row>1015</xdr:row>
      <xdr:rowOff>123825</xdr:rowOff>
    </xdr:to>
    <xdr:pic>
      <xdr:nvPicPr>
        <xdr:cNvPr id="75" name="Picture 204"/>
        <xdr:cNvPicPr preferRelativeResize="1">
          <a:picLocks noChangeAspect="1"/>
        </xdr:cNvPicPr>
      </xdr:nvPicPr>
      <xdr:blipFill>
        <a:blip r:embed="rId71"/>
        <a:stretch>
          <a:fillRect/>
        </a:stretch>
      </xdr:blipFill>
      <xdr:spPr>
        <a:xfrm>
          <a:off x="12106275" y="161658300"/>
          <a:ext cx="3819525" cy="3457575"/>
        </a:xfrm>
        <a:prstGeom prst="rect">
          <a:avLst/>
        </a:prstGeom>
        <a:noFill/>
        <a:ln w="1" cmpd="sng">
          <a:noFill/>
        </a:ln>
      </xdr:spPr>
    </xdr:pic>
    <xdr:clientData/>
  </xdr:twoCellAnchor>
  <xdr:twoCellAnchor editAs="oneCell">
    <xdr:from>
      <xdr:col>5</xdr:col>
      <xdr:colOff>0</xdr:colOff>
      <xdr:row>1136</xdr:row>
      <xdr:rowOff>0</xdr:rowOff>
    </xdr:from>
    <xdr:to>
      <xdr:col>7</xdr:col>
      <xdr:colOff>266700</xdr:colOff>
      <xdr:row>1137</xdr:row>
      <xdr:rowOff>38100</xdr:rowOff>
    </xdr:to>
    <xdr:pic>
      <xdr:nvPicPr>
        <xdr:cNvPr id="76" name="Picture 205"/>
        <xdr:cNvPicPr preferRelativeResize="1">
          <a:picLocks noChangeAspect="1"/>
        </xdr:cNvPicPr>
      </xdr:nvPicPr>
      <xdr:blipFill>
        <a:blip r:embed="rId72"/>
        <a:stretch>
          <a:fillRect/>
        </a:stretch>
      </xdr:blipFill>
      <xdr:spPr>
        <a:xfrm>
          <a:off x="4676775" y="184661175"/>
          <a:ext cx="1790700" cy="200025"/>
        </a:xfrm>
        <a:prstGeom prst="rect">
          <a:avLst/>
        </a:prstGeom>
        <a:solidFill>
          <a:srgbClr val="CCFFFF"/>
        </a:solidFill>
        <a:ln w="9525" cmpd="sng">
          <a:solidFill>
            <a:srgbClr val="FF00FF"/>
          </a:solidFill>
          <a:headEnd type="none"/>
          <a:tailEnd type="none"/>
        </a:ln>
      </xdr:spPr>
    </xdr:pic>
    <xdr:clientData/>
  </xdr:twoCellAnchor>
  <xdr:twoCellAnchor editAs="oneCell">
    <xdr:from>
      <xdr:col>5</xdr:col>
      <xdr:colOff>400050</xdr:colOff>
      <xdr:row>1140</xdr:row>
      <xdr:rowOff>142875</xdr:rowOff>
    </xdr:from>
    <xdr:to>
      <xdr:col>9</xdr:col>
      <xdr:colOff>219075</xdr:colOff>
      <xdr:row>1142</xdr:row>
      <xdr:rowOff>19050</xdr:rowOff>
    </xdr:to>
    <xdr:pic>
      <xdr:nvPicPr>
        <xdr:cNvPr id="77" name="Picture 206"/>
        <xdr:cNvPicPr preferRelativeResize="1">
          <a:picLocks noChangeAspect="1"/>
        </xdr:cNvPicPr>
      </xdr:nvPicPr>
      <xdr:blipFill>
        <a:blip r:embed="rId73"/>
        <a:stretch>
          <a:fillRect/>
        </a:stretch>
      </xdr:blipFill>
      <xdr:spPr>
        <a:xfrm>
          <a:off x="5076825" y="185470800"/>
          <a:ext cx="2867025" cy="200025"/>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114300</xdr:colOff>
      <xdr:row>509</xdr:row>
      <xdr:rowOff>19050</xdr:rowOff>
    </xdr:from>
    <xdr:to>
      <xdr:col>8</xdr:col>
      <xdr:colOff>361950</xdr:colOff>
      <xdr:row>513</xdr:row>
      <xdr:rowOff>57150</xdr:rowOff>
    </xdr:to>
    <xdr:pic>
      <xdr:nvPicPr>
        <xdr:cNvPr id="78" name="Picture 210"/>
        <xdr:cNvPicPr preferRelativeResize="1">
          <a:picLocks noChangeAspect="1"/>
        </xdr:cNvPicPr>
      </xdr:nvPicPr>
      <xdr:blipFill>
        <a:blip r:embed="rId74"/>
        <a:stretch>
          <a:fillRect/>
        </a:stretch>
      </xdr:blipFill>
      <xdr:spPr>
        <a:xfrm>
          <a:off x="3267075" y="82657950"/>
          <a:ext cx="4057650" cy="685800"/>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0</xdr:colOff>
      <xdr:row>514</xdr:row>
      <xdr:rowOff>0</xdr:rowOff>
    </xdr:from>
    <xdr:to>
      <xdr:col>6</xdr:col>
      <xdr:colOff>390525</xdr:colOff>
      <xdr:row>515</xdr:row>
      <xdr:rowOff>76200</xdr:rowOff>
    </xdr:to>
    <xdr:pic>
      <xdr:nvPicPr>
        <xdr:cNvPr id="79" name="Picture 212"/>
        <xdr:cNvPicPr preferRelativeResize="1">
          <a:picLocks noChangeAspect="1"/>
        </xdr:cNvPicPr>
      </xdr:nvPicPr>
      <xdr:blipFill>
        <a:blip r:embed="rId75"/>
        <a:stretch>
          <a:fillRect/>
        </a:stretch>
      </xdr:blipFill>
      <xdr:spPr>
        <a:xfrm>
          <a:off x="3152775" y="83448525"/>
          <a:ext cx="2676525" cy="238125"/>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19050</xdr:colOff>
      <xdr:row>522</xdr:row>
      <xdr:rowOff>0</xdr:rowOff>
    </xdr:from>
    <xdr:to>
      <xdr:col>7</xdr:col>
      <xdr:colOff>400050</xdr:colOff>
      <xdr:row>525</xdr:row>
      <xdr:rowOff>76200</xdr:rowOff>
    </xdr:to>
    <xdr:pic>
      <xdr:nvPicPr>
        <xdr:cNvPr id="80" name="Picture 213"/>
        <xdr:cNvPicPr preferRelativeResize="1">
          <a:picLocks noChangeAspect="1"/>
        </xdr:cNvPicPr>
      </xdr:nvPicPr>
      <xdr:blipFill>
        <a:blip r:embed="rId76"/>
        <a:stretch>
          <a:fillRect/>
        </a:stretch>
      </xdr:blipFill>
      <xdr:spPr>
        <a:xfrm>
          <a:off x="3171825" y="84753450"/>
          <a:ext cx="3429000" cy="561975"/>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0</xdr:colOff>
      <xdr:row>529</xdr:row>
      <xdr:rowOff>0</xdr:rowOff>
    </xdr:from>
    <xdr:to>
      <xdr:col>8</xdr:col>
      <xdr:colOff>352425</xdr:colOff>
      <xdr:row>533</xdr:row>
      <xdr:rowOff>38100</xdr:rowOff>
    </xdr:to>
    <xdr:pic>
      <xdr:nvPicPr>
        <xdr:cNvPr id="81" name="Picture 214"/>
        <xdr:cNvPicPr preferRelativeResize="1">
          <a:picLocks noChangeAspect="1"/>
        </xdr:cNvPicPr>
      </xdr:nvPicPr>
      <xdr:blipFill>
        <a:blip r:embed="rId77"/>
        <a:stretch>
          <a:fillRect/>
        </a:stretch>
      </xdr:blipFill>
      <xdr:spPr>
        <a:xfrm>
          <a:off x="3152775" y="85896450"/>
          <a:ext cx="4162425" cy="685800"/>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0</xdr:colOff>
      <xdr:row>702</xdr:row>
      <xdr:rowOff>0</xdr:rowOff>
    </xdr:from>
    <xdr:to>
      <xdr:col>8</xdr:col>
      <xdr:colOff>85725</xdr:colOff>
      <xdr:row>704</xdr:row>
      <xdr:rowOff>133350</xdr:rowOff>
    </xdr:to>
    <xdr:pic>
      <xdr:nvPicPr>
        <xdr:cNvPr id="82" name="Picture 215"/>
        <xdr:cNvPicPr preferRelativeResize="1">
          <a:picLocks noChangeAspect="1"/>
        </xdr:cNvPicPr>
      </xdr:nvPicPr>
      <xdr:blipFill>
        <a:blip r:embed="rId78"/>
        <a:stretch>
          <a:fillRect/>
        </a:stretch>
      </xdr:blipFill>
      <xdr:spPr>
        <a:xfrm>
          <a:off x="3914775" y="114004725"/>
          <a:ext cx="3133725" cy="457200"/>
        </a:xfrm>
        <a:prstGeom prst="rect">
          <a:avLst/>
        </a:prstGeom>
        <a:solidFill>
          <a:srgbClr val="FFFF99"/>
        </a:solidFill>
        <a:ln w="9525" cmpd="sng">
          <a:solidFill>
            <a:srgbClr val="FF00FF"/>
          </a:solidFill>
          <a:headEnd type="none"/>
          <a:tailEnd type="none"/>
        </a:ln>
      </xdr:spPr>
    </xdr:pic>
    <xdr:clientData/>
  </xdr:twoCellAnchor>
  <xdr:twoCellAnchor editAs="oneCell">
    <xdr:from>
      <xdr:col>4</xdr:col>
      <xdr:colOff>0</xdr:colOff>
      <xdr:row>706</xdr:row>
      <xdr:rowOff>0</xdr:rowOff>
    </xdr:from>
    <xdr:to>
      <xdr:col>7</xdr:col>
      <xdr:colOff>752475</xdr:colOff>
      <xdr:row>709</xdr:row>
      <xdr:rowOff>85725</xdr:rowOff>
    </xdr:to>
    <xdr:pic>
      <xdr:nvPicPr>
        <xdr:cNvPr id="83" name="Picture 216"/>
        <xdr:cNvPicPr preferRelativeResize="1">
          <a:picLocks noChangeAspect="1"/>
        </xdr:cNvPicPr>
      </xdr:nvPicPr>
      <xdr:blipFill>
        <a:blip r:embed="rId79"/>
        <a:stretch>
          <a:fillRect/>
        </a:stretch>
      </xdr:blipFill>
      <xdr:spPr>
        <a:xfrm>
          <a:off x="3914775" y="114652425"/>
          <a:ext cx="3038475" cy="571500"/>
        </a:xfrm>
        <a:prstGeom prst="rect">
          <a:avLst/>
        </a:prstGeom>
        <a:solidFill>
          <a:srgbClr val="CCFFCC"/>
        </a:solidFill>
        <a:ln w="9525" cmpd="sng">
          <a:solidFill>
            <a:srgbClr val="FF00FF"/>
          </a:solidFill>
          <a:headEnd type="none"/>
          <a:tailEnd type="none"/>
        </a:ln>
      </xdr:spPr>
    </xdr:pic>
    <xdr:clientData/>
  </xdr:twoCellAnchor>
  <xdr:twoCellAnchor editAs="oneCell">
    <xdr:from>
      <xdr:col>8</xdr:col>
      <xdr:colOff>28575</xdr:colOff>
      <xdr:row>688</xdr:row>
      <xdr:rowOff>57150</xdr:rowOff>
    </xdr:from>
    <xdr:to>
      <xdr:col>13</xdr:col>
      <xdr:colOff>19050</xdr:colOff>
      <xdr:row>701</xdr:row>
      <xdr:rowOff>123825</xdr:rowOff>
    </xdr:to>
    <xdr:pic>
      <xdr:nvPicPr>
        <xdr:cNvPr id="84" name="Picture 217"/>
        <xdr:cNvPicPr preferRelativeResize="1">
          <a:picLocks noChangeAspect="1"/>
        </xdr:cNvPicPr>
      </xdr:nvPicPr>
      <xdr:blipFill>
        <a:blip r:embed="rId80"/>
        <a:stretch>
          <a:fillRect/>
        </a:stretch>
      </xdr:blipFill>
      <xdr:spPr>
        <a:xfrm>
          <a:off x="6991350" y="111766350"/>
          <a:ext cx="3800475" cy="2200275"/>
        </a:xfrm>
        <a:prstGeom prst="rect">
          <a:avLst/>
        </a:prstGeom>
        <a:noFill/>
        <a:ln w="1" cmpd="sng">
          <a:noFill/>
        </a:ln>
      </xdr:spPr>
    </xdr:pic>
    <xdr:clientData/>
  </xdr:twoCellAnchor>
  <xdr:twoCellAnchor editAs="oneCell">
    <xdr:from>
      <xdr:col>5</xdr:col>
      <xdr:colOff>0</xdr:colOff>
      <xdr:row>1186</xdr:row>
      <xdr:rowOff>0</xdr:rowOff>
    </xdr:from>
    <xdr:to>
      <xdr:col>9</xdr:col>
      <xdr:colOff>752475</xdr:colOff>
      <xdr:row>1199</xdr:row>
      <xdr:rowOff>57150</xdr:rowOff>
    </xdr:to>
    <xdr:pic>
      <xdr:nvPicPr>
        <xdr:cNvPr id="85" name="Picture 218"/>
        <xdr:cNvPicPr preferRelativeResize="1">
          <a:picLocks noChangeAspect="1"/>
        </xdr:cNvPicPr>
      </xdr:nvPicPr>
      <xdr:blipFill>
        <a:blip r:embed="rId81"/>
        <a:stretch>
          <a:fillRect/>
        </a:stretch>
      </xdr:blipFill>
      <xdr:spPr>
        <a:xfrm>
          <a:off x="4676775" y="192805050"/>
          <a:ext cx="3800475" cy="2200275"/>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15</xdr:row>
      <xdr:rowOff>104775</xdr:rowOff>
    </xdr:from>
    <xdr:to>
      <xdr:col>5</xdr:col>
      <xdr:colOff>285750</xdr:colOff>
      <xdr:row>19</xdr:row>
      <xdr:rowOff>57150</xdr:rowOff>
    </xdr:to>
    <xdr:sp>
      <xdr:nvSpPr>
        <xdr:cNvPr id="1" name="TextBox 1"/>
        <xdr:cNvSpPr txBox="1">
          <a:spLocks noChangeArrowheads="1"/>
        </xdr:cNvSpPr>
      </xdr:nvSpPr>
      <xdr:spPr>
        <a:xfrm>
          <a:off x="2486025" y="2571750"/>
          <a:ext cx="1666875" cy="609600"/>
        </a:xfrm>
        <a:prstGeom prst="rect">
          <a:avLst/>
        </a:prstGeom>
        <a:solidFill>
          <a:srgbClr val="FFCC00"/>
        </a:solidFill>
        <a:ln w="9525"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Somree los datos iluminadosa en oro y active opción de COPIAR.
Llevelos a la hoja problemas.</a:t>
          </a:r>
        </a:p>
      </xdr:txBody>
    </xdr:sp>
    <xdr:clientData/>
  </xdr:twoCellAnchor>
  <xdr:twoCellAnchor>
    <xdr:from>
      <xdr:col>4</xdr:col>
      <xdr:colOff>0</xdr:colOff>
      <xdr:row>224</xdr:row>
      <xdr:rowOff>57150</xdr:rowOff>
    </xdr:from>
    <xdr:to>
      <xdr:col>6</xdr:col>
      <xdr:colOff>647700</xdr:colOff>
      <xdr:row>229</xdr:row>
      <xdr:rowOff>133350</xdr:rowOff>
    </xdr:to>
    <xdr:sp>
      <xdr:nvSpPr>
        <xdr:cNvPr id="2" name="TextBox 3"/>
        <xdr:cNvSpPr txBox="1">
          <a:spLocks noChangeArrowheads="1"/>
        </xdr:cNvSpPr>
      </xdr:nvSpPr>
      <xdr:spPr>
        <a:xfrm>
          <a:off x="3048000" y="36499800"/>
          <a:ext cx="2228850" cy="885825"/>
        </a:xfrm>
        <a:prstGeom prst="rect">
          <a:avLst/>
        </a:prstGeom>
        <a:solidFill>
          <a:srgbClr val="FFCC00"/>
        </a:solidFill>
        <a:ln w="9525"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Copie cuando el ANDEVA le parezca conveniente.
Sombree los datos iluminadosa en oro y active opción de COPIAR.
Llevelos a la hoja Problemas.</a:t>
          </a:r>
        </a:p>
      </xdr:txBody>
    </xdr:sp>
    <xdr:clientData/>
  </xdr:twoCellAnchor>
  <xdr:twoCellAnchor>
    <xdr:from>
      <xdr:col>3</xdr:col>
      <xdr:colOff>266700</xdr:colOff>
      <xdr:row>294</xdr:row>
      <xdr:rowOff>9525</xdr:rowOff>
    </xdr:from>
    <xdr:to>
      <xdr:col>5</xdr:col>
      <xdr:colOff>352425</xdr:colOff>
      <xdr:row>297</xdr:row>
      <xdr:rowOff>123825</xdr:rowOff>
    </xdr:to>
    <xdr:sp>
      <xdr:nvSpPr>
        <xdr:cNvPr id="3" name="TextBox 4"/>
        <xdr:cNvSpPr txBox="1">
          <a:spLocks noChangeArrowheads="1"/>
        </xdr:cNvSpPr>
      </xdr:nvSpPr>
      <xdr:spPr>
        <a:xfrm>
          <a:off x="2552700" y="47825025"/>
          <a:ext cx="1666875" cy="609600"/>
        </a:xfrm>
        <a:prstGeom prst="rect">
          <a:avLst/>
        </a:prstGeom>
        <a:solidFill>
          <a:srgbClr val="FFCC00"/>
        </a:solidFill>
        <a:ln w="9525"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Sombree los datos iluminadosa en oro y active opción de COPIAR.
Llevelos a la hoja Problemas.</a:t>
          </a:r>
        </a:p>
      </xdr:txBody>
    </xdr:sp>
    <xdr:clientData/>
  </xdr:twoCellAnchor>
  <xdr:twoCellAnchor>
    <xdr:from>
      <xdr:col>2</xdr:col>
      <xdr:colOff>609600</xdr:colOff>
      <xdr:row>0</xdr:row>
      <xdr:rowOff>47625</xdr:rowOff>
    </xdr:from>
    <xdr:to>
      <xdr:col>6</xdr:col>
      <xdr:colOff>76200</xdr:colOff>
      <xdr:row>2</xdr:row>
      <xdr:rowOff>66675</xdr:rowOff>
    </xdr:to>
    <xdr:sp>
      <xdr:nvSpPr>
        <xdr:cNvPr id="4" name="Rectangle 5"/>
        <xdr:cNvSpPr>
          <a:spLocks/>
        </xdr:cNvSpPr>
      </xdr:nvSpPr>
      <xdr:spPr>
        <a:xfrm>
          <a:off x="2133600" y="47625"/>
          <a:ext cx="2571750" cy="342900"/>
        </a:xfrm>
        <a:prstGeom prst="roundRect">
          <a:avLst/>
        </a:prstGeom>
        <a:blipFill>
          <a:blip r:embed="rId1"/>
          <a:srcRect/>
          <a:stretch>
            <a:fillRect/>
          </a:stretch>
        </a:blipFill>
        <a:ln w="9525" cmpd="sng">
          <a:solidFill>
            <a:srgbClr val="000000"/>
          </a:solidFill>
          <a:headEnd type="none"/>
          <a:tailEnd type="none"/>
        </a:ln>
      </xdr:spPr>
      <xdr:txBody>
        <a:bodyPr vertOverflow="clip" wrap="square"/>
        <a:p>
          <a:pPr algn="ctr">
            <a:defRPr/>
          </a:pPr>
          <a:r>
            <a:rPr lang="en-US" cap="none" sz="1800" b="1" i="0" u="none" baseline="0">
              <a:solidFill>
                <a:srgbClr val="FFCC00"/>
              </a:solidFill>
            </a:rPr>
            <a:t>Generador de Ejemplos.</a:t>
          </a:r>
        </a:p>
      </xdr:txBody>
    </xdr:sp>
    <xdr:clientData/>
  </xdr:twoCellAnchor>
  <xdr:twoCellAnchor>
    <xdr:from>
      <xdr:col>5</xdr:col>
      <xdr:colOff>561975</xdr:colOff>
      <xdr:row>5</xdr:row>
      <xdr:rowOff>9525</xdr:rowOff>
    </xdr:from>
    <xdr:to>
      <xdr:col>11</xdr:col>
      <xdr:colOff>85725</xdr:colOff>
      <xdr:row>21</xdr:row>
      <xdr:rowOff>123825</xdr:rowOff>
    </xdr:to>
    <xdr:sp>
      <xdr:nvSpPr>
        <xdr:cNvPr id="5" name="TextBox 14"/>
        <xdr:cNvSpPr txBox="1">
          <a:spLocks noChangeArrowheads="1"/>
        </xdr:cNvSpPr>
      </xdr:nvSpPr>
      <xdr:spPr>
        <a:xfrm>
          <a:off x="4429125" y="819150"/>
          <a:ext cx="4095750" cy="2752725"/>
        </a:xfrm>
        <a:prstGeom prst="rect">
          <a:avLst/>
        </a:prstGeom>
        <a:gradFill rotWithShape="1">
          <a:gsLst>
            <a:gs pos="0">
              <a:srgbClr val="800000"/>
            </a:gs>
            <a:gs pos="100000">
              <a:srgbClr val="993300"/>
            </a:gs>
          </a:gsLst>
          <a:lin ang="5400000" scaled="1"/>
        </a:gradFill>
        <a:ln w="9525" cmpd="sng">
          <a:solidFill>
            <a:srgbClr val="FFFF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Usualmente, en los estudios por muestreo tanto la variable Dependiente Y como la variable Independiente X son de naturaleza aleatoria. Es estos casos, Los Métodos de Regresión y de Correlación son alternativas de análisis válidas.
Problema:
Galton bautizó la técnica de predicción mediante el modelo lineal simple haciendo una análisis de algo más de mil observaciones de las estaturas de los padres variable X, y de los hijos, variable Y. En teoría la relación debería ser muy próxima a 1; en el análisis, obtuvo una pendiente de 0,516, concluyendo. “La estatura de los hijos sufre una “Regresión a la Mediocridad” con respecto a la estatura de los hijos. De este resultado se adoptó el nombre.
Un profesor pidió a sus estudiantes recopilaran muestras de estaturas de padres e hijos varones para emular el estudio de regresión de Galton.      </a:t>
          </a:r>
        </a:p>
      </xdr:txBody>
    </xdr:sp>
    <xdr:clientData/>
  </xdr:twoCellAnchor>
  <xdr:twoCellAnchor>
    <xdr:from>
      <xdr:col>8</xdr:col>
      <xdr:colOff>657225</xdr:colOff>
      <xdr:row>102</xdr:row>
      <xdr:rowOff>76200</xdr:rowOff>
    </xdr:from>
    <xdr:to>
      <xdr:col>13</xdr:col>
      <xdr:colOff>742950</xdr:colOff>
      <xdr:row>110</xdr:row>
      <xdr:rowOff>161925</xdr:rowOff>
    </xdr:to>
    <xdr:sp>
      <xdr:nvSpPr>
        <xdr:cNvPr id="6" name="TextBox 15"/>
        <xdr:cNvSpPr txBox="1">
          <a:spLocks noChangeArrowheads="1"/>
        </xdr:cNvSpPr>
      </xdr:nvSpPr>
      <xdr:spPr>
        <a:xfrm>
          <a:off x="6810375" y="16640175"/>
          <a:ext cx="4029075" cy="1381125"/>
        </a:xfrm>
        <a:prstGeom prst="rect">
          <a:avLst/>
        </a:prstGeom>
        <a:gradFill rotWithShape="1">
          <a:gsLst>
            <a:gs pos="0">
              <a:srgbClr val="336600"/>
            </a:gs>
            <a:gs pos="50000">
              <a:srgbClr val="172F00"/>
            </a:gs>
            <a:gs pos="100000">
              <a:srgbClr val="336600"/>
            </a:gs>
          </a:gsLst>
          <a:lin ang="2700000" scaled="1"/>
        </a:gradFill>
        <a:ln w="9525" cmpd="sng">
          <a:solidFill>
            <a:srgbClr val="FFCC99"/>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El ejemplo consiste en agregar un nuevo conjunto de 85 observaciones que incluye el peso de padres e hijos varones. 
Todas las variables X1 = La Estatura de los Padres; X2 = El Peso de los Padres; X3 = La Estatura de los hijos; X4 = El peso de los hijos son de naturaleza aleatoria.
El Objetivo del análisis:
Conocer las relaciones entre las variables mencionadas en un estudio genético de peso y estatura entre hijos y padres varones.  </a:t>
          </a:r>
        </a:p>
      </xdr:txBody>
    </xdr:sp>
    <xdr:clientData/>
  </xdr:twoCellAnchor>
  <xdr:twoCellAnchor>
    <xdr:from>
      <xdr:col>11</xdr:col>
      <xdr:colOff>133350</xdr:colOff>
      <xdr:row>205</xdr:row>
      <xdr:rowOff>104775</xdr:rowOff>
    </xdr:from>
    <xdr:to>
      <xdr:col>17</xdr:col>
      <xdr:colOff>609600</xdr:colOff>
      <xdr:row>220</xdr:row>
      <xdr:rowOff>133350</xdr:rowOff>
    </xdr:to>
    <xdr:sp>
      <xdr:nvSpPr>
        <xdr:cNvPr id="7" name="TextBox 16"/>
        <xdr:cNvSpPr txBox="1">
          <a:spLocks noChangeArrowheads="1"/>
        </xdr:cNvSpPr>
      </xdr:nvSpPr>
      <xdr:spPr>
        <a:xfrm>
          <a:off x="8572500" y="33385125"/>
          <a:ext cx="5181600" cy="2543175"/>
        </a:xfrm>
        <a:prstGeom prst="rect">
          <a:avLst/>
        </a:prstGeom>
        <a:solidFill>
          <a:srgbClr val="666633"/>
        </a:solidFill>
        <a:ln w="9525" cmpd="sng">
          <a:solidFill>
            <a:srgbClr val="FFFF00"/>
          </a:solidFill>
          <a:headEnd type="none"/>
          <a:tailEnd type="none"/>
        </a:ln>
      </xdr:spPr>
      <xdr:txBody>
        <a:bodyPr vertOverflow="clip" wrap="square"/>
        <a:p>
          <a:pPr algn="l">
            <a:defRPr/>
          </a:pPr>
          <a:r>
            <a:rPr lang="en-US" cap="none" sz="1000" b="1" i="0" u="none" baseline="0">
              <a:solidFill>
                <a:srgbClr val="FFCC99"/>
              </a:solidFill>
              <a:latin typeface="Arial"/>
              <a:ea typeface="Arial"/>
              <a:cs typeface="Arial"/>
            </a:rPr>
            <a:t>En la Experimentación Planificada, el investigador mantiene un control estricto sobre los tratamientos aplicados a “unidades experimentales”, la relación funcional del Factor X con la variable Objetivo Y se espera que sea  de naturaleza causal. Esto es, ¡qué produzca cambios en los sujetos experimentados por efecto de los tratamientos.
Problema:
Una investigación estaba interesada en valorar la densidad de siembra sobre el rendimiento de una variedad de tomatillo (Phisalis). Se analizaron 5 distancias entre surcos sobre 12 repeticiones.
La hipótesis nula se planteó de la siguiente manera:
Ho; La densidad de siembra no afecta el rendimiento del tomatillo.
El interés en la investigación es determinar la relación entre rendimiento o variable Y a diferentes densidades de siembra X, un Factor aplicado a 5 niveles predeterminados 45, 60, 75, 90, 105 centímetros entre surcos, que se considera, causará diferencias en el rendimiento del sujeto experimentado, El Tomatillo,.        </a:t>
          </a:r>
        </a:p>
      </xdr:txBody>
    </xdr:sp>
    <xdr:clientData/>
  </xdr:twoCellAnchor>
  <xdr:twoCellAnchor>
    <xdr:from>
      <xdr:col>8</xdr:col>
      <xdr:colOff>85725</xdr:colOff>
      <xdr:row>281</xdr:row>
      <xdr:rowOff>133350</xdr:rowOff>
    </xdr:from>
    <xdr:to>
      <xdr:col>13</xdr:col>
      <xdr:colOff>704850</xdr:colOff>
      <xdr:row>290</xdr:row>
      <xdr:rowOff>47625</xdr:rowOff>
    </xdr:to>
    <xdr:sp>
      <xdr:nvSpPr>
        <xdr:cNvPr id="8" name="TextBox 17"/>
        <xdr:cNvSpPr txBox="1">
          <a:spLocks noChangeArrowheads="1"/>
        </xdr:cNvSpPr>
      </xdr:nvSpPr>
      <xdr:spPr>
        <a:xfrm>
          <a:off x="6238875" y="45805725"/>
          <a:ext cx="4562475" cy="1400175"/>
        </a:xfrm>
        <a:prstGeom prst="rect">
          <a:avLst/>
        </a:prstGeom>
        <a:solidFill>
          <a:srgbClr val="993300"/>
        </a:solidFill>
        <a:ln w="9525" cmpd="sng">
          <a:solidFill>
            <a:srgbClr val="FFCC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El departamento de planeamiento preparó para la junta directiva un programa de inversiones para los siguientes cuatro años. Para mostrar lo que se podría esperar de prestamos gubernamentales decidieron estudiar el comportamiento del gasto en construcción pública Y2 y el monto de la inversión privada Y1 en la construcción de vivienda no subvencionada por el gobierno de los últimos  30 años.
El estudio decidieron hacerlo mediante Regresión Lineal Simple de las inversiones sobre los años.    </a:t>
          </a:r>
        </a:p>
      </xdr:txBody>
    </xdr:sp>
    <xdr:clientData/>
  </xdr:twoCellAnchor>
  <xdr:twoCellAnchor>
    <xdr:from>
      <xdr:col>6</xdr:col>
      <xdr:colOff>200025</xdr:colOff>
      <xdr:row>117</xdr:row>
      <xdr:rowOff>104775</xdr:rowOff>
    </xdr:from>
    <xdr:to>
      <xdr:col>8</xdr:col>
      <xdr:colOff>342900</xdr:colOff>
      <xdr:row>121</xdr:row>
      <xdr:rowOff>57150</xdr:rowOff>
    </xdr:to>
    <xdr:sp>
      <xdr:nvSpPr>
        <xdr:cNvPr id="9" name="TextBox 18"/>
        <xdr:cNvSpPr txBox="1">
          <a:spLocks noChangeArrowheads="1"/>
        </xdr:cNvSpPr>
      </xdr:nvSpPr>
      <xdr:spPr>
        <a:xfrm>
          <a:off x="4829175" y="19126200"/>
          <a:ext cx="1666875" cy="609600"/>
        </a:xfrm>
        <a:prstGeom prst="rect">
          <a:avLst/>
        </a:prstGeom>
        <a:solidFill>
          <a:srgbClr val="FFCC00"/>
        </a:solidFill>
        <a:ln w="9525"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Somree los datos iluminadosa en oro y active opción de COPIAR.
Llevelos a la hoja problemas.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123825</xdr:rowOff>
    </xdr:from>
    <xdr:to>
      <xdr:col>9</xdr:col>
      <xdr:colOff>361950</xdr:colOff>
      <xdr:row>5</xdr:row>
      <xdr:rowOff>85725</xdr:rowOff>
    </xdr:to>
    <xdr:sp>
      <xdr:nvSpPr>
        <xdr:cNvPr id="1" name="Rectangle 1"/>
        <xdr:cNvSpPr>
          <a:spLocks/>
        </xdr:cNvSpPr>
      </xdr:nvSpPr>
      <xdr:spPr>
        <a:xfrm>
          <a:off x="1390650" y="123825"/>
          <a:ext cx="5829300" cy="771525"/>
        </a:xfrm>
        <a:prstGeom prst="roundRect">
          <a:avLst/>
        </a:prstGeom>
        <a:blipFill>
          <a:blip r:embed="rId1"/>
          <a:srcRect/>
          <a:stretch>
            <a:fillRect/>
          </a:stretch>
        </a:blipFill>
        <a:ln w="9525" cmpd="sng">
          <a:solidFill>
            <a:srgbClr val="000000"/>
          </a:solidFill>
          <a:headEnd type="none"/>
          <a:tailEnd type="none"/>
        </a:ln>
      </xdr:spPr>
      <xdr:txBody>
        <a:bodyPr vertOverflow="clip" wrap="square"/>
        <a:p>
          <a:pPr algn="ctr">
            <a:defRPr/>
          </a:pPr>
          <a:r>
            <a:rPr lang="en-US" cap="none" sz="2000" b="0" i="0" u="none" baseline="0">
              <a:solidFill>
                <a:srgbClr val="FFFF00"/>
              </a:solidFill>
              <a:latin typeface="Arial"/>
              <a:ea typeface="Arial"/>
              <a:cs typeface="Arial"/>
            </a:rPr>
            <a:t>CURSO PROGRAMADO DE ESTADÍSTICA.
Regresión Lineal Tablas Estadísticas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723900</xdr:colOff>
      <xdr:row>100</xdr:row>
      <xdr:rowOff>9525</xdr:rowOff>
    </xdr:from>
    <xdr:to>
      <xdr:col>6</xdr:col>
      <xdr:colOff>28575</xdr:colOff>
      <xdr:row>103</xdr:row>
      <xdr:rowOff>114300</xdr:rowOff>
    </xdr:to>
    <xdr:sp>
      <xdr:nvSpPr>
        <xdr:cNvPr id="1" name="TextBox 1"/>
        <xdr:cNvSpPr txBox="1">
          <a:spLocks noChangeArrowheads="1"/>
        </xdr:cNvSpPr>
      </xdr:nvSpPr>
      <xdr:spPr>
        <a:xfrm>
          <a:off x="3714750" y="16221075"/>
          <a:ext cx="1590675" cy="609600"/>
        </a:xfrm>
        <a:prstGeom prst="rect">
          <a:avLst/>
        </a:prstGeom>
        <a:solidFill>
          <a:srgbClr val="FFCC00"/>
        </a:solidFill>
        <a:ln w="9525"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Copie los datos del cuadro anterior y clasifíquelos por Estatura Pader y Estatura Hijos</a:t>
          </a:r>
        </a:p>
      </xdr:txBody>
    </xdr:sp>
    <xdr:clientData/>
  </xdr:twoCellAnchor>
  <xdr:twoCellAnchor>
    <xdr:from>
      <xdr:col>3</xdr:col>
      <xdr:colOff>609600</xdr:colOff>
      <xdr:row>12</xdr:row>
      <xdr:rowOff>19050</xdr:rowOff>
    </xdr:from>
    <xdr:to>
      <xdr:col>5</xdr:col>
      <xdr:colOff>685800</xdr:colOff>
      <xdr:row>15</xdr:row>
      <xdr:rowOff>133350</xdr:rowOff>
    </xdr:to>
    <xdr:sp>
      <xdr:nvSpPr>
        <xdr:cNvPr id="2" name="TextBox 2"/>
        <xdr:cNvSpPr txBox="1">
          <a:spLocks noChangeArrowheads="1"/>
        </xdr:cNvSpPr>
      </xdr:nvSpPr>
      <xdr:spPr>
        <a:xfrm>
          <a:off x="3600450" y="1971675"/>
          <a:ext cx="1600200" cy="609600"/>
        </a:xfrm>
        <a:prstGeom prst="rect">
          <a:avLst/>
        </a:prstGeom>
        <a:solidFill>
          <a:srgbClr val="FFCC00"/>
        </a:solidFill>
        <a:ln w="9525"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Traiga los datos desde el Generado y active:
</a:t>
          </a:r>
          <a:r>
            <a:rPr lang="en-US" cap="none" sz="800" b="1" i="1" u="none" baseline="0">
              <a:solidFill>
                <a:srgbClr val="FF0000"/>
              </a:solidFill>
              <a:latin typeface="Arial"/>
              <a:ea typeface="Arial"/>
              <a:cs typeface="Arial"/>
            </a:rPr>
            <a:t>Edición / Pegado especial / Valores</a:t>
          </a:r>
        </a:p>
      </xdr:txBody>
    </xdr:sp>
    <xdr:clientData/>
  </xdr:twoCellAnchor>
  <xdr:twoCellAnchor editAs="oneCell">
    <xdr:from>
      <xdr:col>4</xdr:col>
      <xdr:colOff>38100</xdr:colOff>
      <xdr:row>104</xdr:row>
      <xdr:rowOff>85725</xdr:rowOff>
    </xdr:from>
    <xdr:to>
      <xdr:col>7</xdr:col>
      <xdr:colOff>333375</xdr:colOff>
      <xdr:row>120</xdr:row>
      <xdr:rowOff>76200</xdr:rowOff>
    </xdr:to>
    <xdr:pic>
      <xdr:nvPicPr>
        <xdr:cNvPr id="3" name="Picture 3"/>
        <xdr:cNvPicPr preferRelativeResize="1">
          <a:picLocks noChangeAspect="1"/>
        </xdr:cNvPicPr>
      </xdr:nvPicPr>
      <xdr:blipFill>
        <a:blip r:embed="rId1"/>
        <a:stretch>
          <a:fillRect/>
        </a:stretch>
      </xdr:blipFill>
      <xdr:spPr>
        <a:xfrm>
          <a:off x="3790950" y="16964025"/>
          <a:ext cx="2581275" cy="2581275"/>
        </a:xfrm>
        <a:prstGeom prst="rect">
          <a:avLst/>
        </a:prstGeom>
        <a:noFill/>
        <a:ln w="1" cmpd="sng">
          <a:noFill/>
        </a:ln>
      </xdr:spPr>
    </xdr:pic>
    <xdr:clientData/>
  </xdr:twoCellAnchor>
  <xdr:twoCellAnchor>
    <xdr:from>
      <xdr:col>1</xdr:col>
      <xdr:colOff>190500</xdr:colOff>
      <xdr:row>0</xdr:row>
      <xdr:rowOff>47625</xdr:rowOff>
    </xdr:from>
    <xdr:to>
      <xdr:col>7</xdr:col>
      <xdr:colOff>647700</xdr:colOff>
      <xdr:row>2</xdr:row>
      <xdr:rowOff>57150</xdr:rowOff>
    </xdr:to>
    <xdr:sp>
      <xdr:nvSpPr>
        <xdr:cNvPr id="4" name="Rectangle 4"/>
        <xdr:cNvSpPr>
          <a:spLocks/>
        </xdr:cNvSpPr>
      </xdr:nvSpPr>
      <xdr:spPr>
        <a:xfrm>
          <a:off x="1581150" y="47625"/>
          <a:ext cx="5105400" cy="333375"/>
        </a:xfrm>
        <a:prstGeom prst="roundRect">
          <a:avLst/>
        </a:prstGeom>
        <a:blipFill>
          <a:blip r:embed="rId7"/>
          <a:srcRect/>
          <a:stretch>
            <a:fillRect/>
          </a:stretch>
        </a:blipFill>
        <a:ln w="9525" cmpd="sng">
          <a:solidFill>
            <a:srgbClr val="000000"/>
          </a:solidFill>
          <a:headEnd type="none"/>
          <a:tailEnd type="none"/>
        </a:ln>
      </xdr:spPr>
      <xdr:txBody>
        <a:bodyPr vertOverflow="clip" wrap="square"/>
        <a:p>
          <a:pPr algn="ctr">
            <a:defRPr/>
          </a:pPr>
          <a:r>
            <a:rPr lang="en-US" cap="none" sz="1800" b="1" i="0" u="none" baseline="0">
              <a:solidFill>
                <a:srgbClr val="FFCC00"/>
              </a:solidFill>
            </a:rPr>
            <a:t>Ejemplos presentados en la Charla de PP.</a:t>
          </a:r>
        </a:p>
      </xdr:txBody>
    </xdr:sp>
    <xdr:clientData/>
  </xdr:twoCellAnchor>
  <xdr:twoCellAnchor>
    <xdr:from>
      <xdr:col>5</xdr:col>
      <xdr:colOff>428625</xdr:colOff>
      <xdr:row>595</xdr:row>
      <xdr:rowOff>47625</xdr:rowOff>
    </xdr:from>
    <xdr:to>
      <xdr:col>7</xdr:col>
      <xdr:colOff>523875</xdr:colOff>
      <xdr:row>599</xdr:row>
      <xdr:rowOff>0</xdr:rowOff>
    </xdr:to>
    <xdr:sp>
      <xdr:nvSpPr>
        <xdr:cNvPr id="5" name="TextBox 45"/>
        <xdr:cNvSpPr txBox="1">
          <a:spLocks noChangeArrowheads="1"/>
        </xdr:cNvSpPr>
      </xdr:nvSpPr>
      <xdr:spPr>
        <a:xfrm>
          <a:off x="4943475" y="96659700"/>
          <a:ext cx="1619250" cy="609600"/>
        </a:xfrm>
        <a:prstGeom prst="rect">
          <a:avLst/>
        </a:prstGeom>
        <a:solidFill>
          <a:srgbClr val="FFCC00"/>
        </a:solidFill>
        <a:ln w="9525"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Traiga los datos desde el Generado y active:
</a:t>
          </a:r>
          <a:r>
            <a:rPr lang="en-US" cap="none" sz="800" b="1" i="1" u="none" baseline="0">
              <a:solidFill>
                <a:srgbClr val="FF0000"/>
              </a:solidFill>
              <a:latin typeface="Arial"/>
              <a:ea typeface="Arial"/>
              <a:cs typeface="Arial"/>
            </a:rPr>
            <a:t>Edición / Pegado especial / Valores</a:t>
          </a:r>
        </a:p>
      </xdr:txBody>
    </xdr:sp>
    <xdr:clientData/>
  </xdr:twoCellAnchor>
  <xdr:twoCellAnchor editAs="oneCell">
    <xdr:from>
      <xdr:col>6</xdr:col>
      <xdr:colOff>0</xdr:colOff>
      <xdr:row>678</xdr:row>
      <xdr:rowOff>0</xdr:rowOff>
    </xdr:from>
    <xdr:to>
      <xdr:col>12</xdr:col>
      <xdr:colOff>257175</xdr:colOff>
      <xdr:row>689</xdr:row>
      <xdr:rowOff>0</xdr:rowOff>
    </xdr:to>
    <xdr:pic>
      <xdr:nvPicPr>
        <xdr:cNvPr id="6" name="Picture 46"/>
        <xdr:cNvPicPr preferRelativeResize="1">
          <a:picLocks noChangeAspect="1"/>
        </xdr:cNvPicPr>
      </xdr:nvPicPr>
      <xdr:blipFill>
        <a:blip r:embed="rId2"/>
        <a:stretch>
          <a:fillRect/>
        </a:stretch>
      </xdr:blipFill>
      <xdr:spPr>
        <a:xfrm>
          <a:off x="5276850" y="110061375"/>
          <a:ext cx="4829175" cy="1809750"/>
        </a:xfrm>
        <a:prstGeom prst="rect">
          <a:avLst/>
        </a:prstGeom>
        <a:noFill/>
        <a:ln w="1" cmpd="sng">
          <a:noFill/>
        </a:ln>
      </xdr:spPr>
    </xdr:pic>
    <xdr:clientData/>
  </xdr:twoCellAnchor>
  <xdr:twoCellAnchor editAs="oneCell">
    <xdr:from>
      <xdr:col>12</xdr:col>
      <xdr:colOff>333375</xdr:colOff>
      <xdr:row>678</xdr:row>
      <xdr:rowOff>0</xdr:rowOff>
    </xdr:from>
    <xdr:to>
      <xdr:col>17</xdr:col>
      <xdr:colOff>323850</xdr:colOff>
      <xdr:row>691</xdr:row>
      <xdr:rowOff>76200</xdr:rowOff>
    </xdr:to>
    <xdr:pic>
      <xdr:nvPicPr>
        <xdr:cNvPr id="7" name="Picture 47"/>
        <xdr:cNvPicPr preferRelativeResize="1">
          <a:picLocks noChangeAspect="1"/>
        </xdr:cNvPicPr>
      </xdr:nvPicPr>
      <xdr:blipFill>
        <a:blip r:embed="rId3"/>
        <a:stretch>
          <a:fillRect/>
        </a:stretch>
      </xdr:blipFill>
      <xdr:spPr>
        <a:xfrm>
          <a:off x="10182225" y="110061375"/>
          <a:ext cx="3800475" cy="2209800"/>
        </a:xfrm>
        <a:prstGeom prst="rect">
          <a:avLst/>
        </a:prstGeom>
        <a:noFill/>
        <a:ln w="1" cmpd="sng">
          <a:noFill/>
        </a:ln>
      </xdr:spPr>
    </xdr:pic>
    <xdr:clientData/>
  </xdr:twoCellAnchor>
  <xdr:twoCellAnchor editAs="oneCell">
    <xdr:from>
      <xdr:col>8</xdr:col>
      <xdr:colOff>133350</xdr:colOff>
      <xdr:row>977</xdr:row>
      <xdr:rowOff>76200</xdr:rowOff>
    </xdr:from>
    <xdr:to>
      <xdr:col>14</xdr:col>
      <xdr:colOff>409575</xdr:colOff>
      <xdr:row>988</xdr:row>
      <xdr:rowOff>85725</xdr:rowOff>
    </xdr:to>
    <xdr:pic>
      <xdr:nvPicPr>
        <xdr:cNvPr id="8" name="Picture 54"/>
        <xdr:cNvPicPr preferRelativeResize="1">
          <a:picLocks noChangeAspect="1"/>
        </xdr:cNvPicPr>
      </xdr:nvPicPr>
      <xdr:blipFill>
        <a:blip r:embed="rId4"/>
        <a:stretch>
          <a:fillRect/>
        </a:stretch>
      </xdr:blipFill>
      <xdr:spPr>
        <a:xfrm>
          <a:off x="6934200" y="158857950"/>
          <a:ext cx="4848225" cy="1809750"/>
        </a:xfrm>
        <a:prstGeom prst="rect">
          <a:avLst/>
        </a:prstGeom>
        <a:noFill/>
        <a:ln w="1" cmpd="sng">
          <a:noFill/>
        </a:ln>
      </xdr:spPr>
    </xdr:pic>
    <xdr:clientData/>
  </xdr:twoCellAnchor>
  <xdr:twoCellAnchor>
    <xdr:from>
      <xdr:col>4</xdr:col>
      <xdr:colOff>266700</xdr:colOff>
      <xdr:row>1133</xdr:row>
      <xdr:rowOff>0</xdr:rowOff>
    </xdr:from>
    <xdr:to>
      <xdr:col>6</xdr:col>
      <xdr:colOff>333375</xdr:colOff>
      <xdr:row>1136</xdr:row>
      <xdr:rowOff>114300</xdr:rowOff>
    </xdr:to>
    <xdr:sp>
      <xdr:nvSpPr>
        <xdr:cNvPr id="9" name="TextBox 71"/>
        <xdr:cNvSpPr txBox="1">
          <a:spLocks noChangeArrowheads="1"/>
        </xdr:cNvSpPr>
      </xdr:nvSpPr>
      <xdr:spPr>
        <a:xfrm>
          <a:off x="4019550" y="184203975"/>
          <a:ext cx="1590675" cy="609600"/>
        </a:xfrm>
        <a:prstGeom prst="rect">
          <a:avLst/>
        </a:prstGeom>
        <a:solidFill>
          <a:srgbClr val="FFCC00"/>
        </a:solidFill>
        <a:ln w="9525"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Traiga los datos desde el Generado y active:
</a:t>
          </a:r>
          <a:r>
            <a:rPr lang="en-US" cap="none" sz="800" b="1" i="1" u="none" baseline="0">
              <a:solidFill>
                <a:srgbClr val="FF0000"/>
              </a:solidFill>
              <a:latin typeface="Arial"/>
              <a:ea typeface="Arial"/>
              <a:cs typeface="Arial"/>
            </a:rPr>
            <a:t>Edición / Pegado especial / Valores</a:t>
          </a:r>
        </a:p>
      </xdr:txBody>
    </xdr:sp>
    <xdr:clientData/>
  </xdr:twoCellAnchor>
  <xdr:twoCellAnchor editAs="oneCell">
    <xdr:from>
      <xdr:col>14</xdr:col>
      <xdr:colOff>571500</xdr:colOff>
      <xdr:row>975</xdr:row>
      <xdr:rowOff>123825</xdr:rowOff>
    </xdr:from>
    <xdr:to>
      <xdr:col>19</xdr:col>
      <xdr:colOff>581025</xdr:colOff>
      <xdr:row>996</xdr:row>
      <xdr:rowOff>123825</xdr:rowOff>
    </xdr:to>
    <xdr:pic>
      <xdr:nvPicPr>
        <xdr:cNvPr id="10" name="Picture 88"/>
        <xdr:cNvPicPr preferRelativeResize="1">
          <a:picLocks noChangeAspect="1"/>
        </xdr:cNvPicPr>
      </xdr:nvPicPr>
      <xdr:blipFill>
        <a:blip r:embed="rId5"/>
        <a:stretch>
          <a:fillRect/>
        </a:stretch>
      </xdr:blipFill>
      <xdr:spPr>
        <a:xfrm>
          <a:off x="11944350" y="158581725"/>
          <a:ext cx="3819525" cy="3457575"/>
        </a:xfrm>
        <a:prstGeom prst="rect">
          <a:avLst/>
        </a:prstGeom>
        <a:noFill/>
        <a:ln w="1" cmpd="sng">
          <a:noFill/>
        </a:ln>
      </xdr:spPr>
    </xdr:pic>
    <xdr:clientData/>
  </xdr:twoCellAnchor>
  <xdr:twoCellAnchor editAs="oneCell">
    <xdr:from>
      <xdr:col>15</xdr:col>
      <xdr:colOff>76200</xdr:colOff>
      <xdr:row>1164</xdr:row>
      <xdr:rowOff>66675</xdr:rowOff>
    </xdr:from>
    <xdr:to>
      <xdr:col>20</xdr:col>
      <xdr:colOff>66675</xdr:colOff>
      <xdr:row>1177</xdr:row>
      <xdr:rowOff>123825</xdr:rowOff>
    </xdr:to>
    <xdr:pic>
      <xdr:nvPicPr>
        <xdr:cNvPr id="11" name="Picture 92"/>
        <xdr:cNvPicPr preferRelativeResize="1">
          <a:picLocks noChangeAspect="1"/>
        </xdr:cNvPicPr>
      </xdr:nvPicPr>
      <xdr:blipFill>
        <a:blip r:embed="rId6"/>
        <a:stretch>
          <a:fillRect/>
        </a:stretch>
      </xdr:blipFill>
      <xdr:spPr>
        <a:xfrm>
          <a:off x="12211050" y="189299850"/>
          <a:ext cx="3800475" cy="2209800"/>
        </a:xfrm>
        <a:prstGeom prst="rect">
          <a:avLst/>
        </a:prstGeom>
        <a:noFill/>
        <a:ln w="1" cmpd="sng">
          <a:noFill/>
        </a:ln>
      </xdr:spPr>
    </xdr:pic>
    <xdr:clientData/>
  </xdr:twoCellAnchor>
  <xdr:twoCellAnchor>
    <xdr:from>
      <xdr:col>1</xdr:col>
      <xdr:colOff>514350</xdr:colOff>
      <xdr:row>190</xdr:row>
      <xdr:rowOff>57150</xdr:rowOff>
    </xdr:from>
    <xdr:to>
      <xdr:col>7</xdr:col>
      <xdr:colOff>361950</xdr:colOff>
      <xdr:row>210</xdr:row>
      <xdr:rowOff>0</xdr:rowOff>
    </xdr:to>
    <xdr:sp>
      <xdr:nvSpPr>
        <xdr:cNvPr id="12" name="TextBox 102"/>
        <xdr:cNvSpPr txBox="1">
          <a:spLocks noChangeArrowheads="1"/>
        </xdr:cNvSpPr>
      </xdr:nvSpPr>
      <xdr:spPr>
        <a:xfrm>
          <a:off x="1905000" y="30861000"/>
          <a:ext cx="4495800" cy="31813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1</xdr:col>
      <xdr:colOff>114300</xdr:colOff>
      <xdr:row>320</xdr:row>
      <xdr:rowOff>152400</xdr:rowOff>
    </xdr:from>
    <xdr:to>
      <xdr:col>6</xdr:col>
      <xdr:colOff>723900</xdr:colOff>
      <xdr:row>340</xdr:row>
      <xdr:rowOff>95250</xdr:rowOff>
    </xdr:to>
    <xdr:sp>
      <xdr:nvSpPr>
        <xdr:cNvPr id="13" name="TextBox 103"/>
        <xdr:cNvSpPr txBox="1">
          <a:spLocks noChangeArrowheads="1"/>
        </xdr:cNvSpPr>
      </xdr:nvSpPr>
      <xdr:spPr>
        <a:xfrm>
          <a:off x="1504950" y="52044600"/>
          <a:ext cx="4495800" cy="31813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569</xdr:row>
      <xdr:rowOff>38100</xdr:rowOff>
    </xdr:from>
    <xdr:to>
      <xdr:col>7</xdr:col>
      <xdr:colOff>295275</xdr:colOff>
      <xdr:row>587</xdr:row>
      <xdr:rowOff>123825</xdr:rowOff>
    </xdr:to>
    <xdr:sp>
      <xdr:nvSpPr>
        <xdr:cNvPr id="14" name="TextBox 104"/>
        <xdr:cNvSpPr txBox="1">
          <a:spLocks noChangeArrowheads="1"/>
        </xdr:cNvSpPr>
      </xdr:nvSpPr>
      <xdr:spPr>
        <a:xfrm>
          <a:off x="1838325" y="92430600"/>
          <a:ext cx="4495800" cy="3000375"/>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1</xdr:col>
      <xdr:colOff>514350</xdr:colOff>
      <xdr:row>839</xdr:row>
      <xdr:rowOff>19050</xdr:rowOff>
    </xdr:from>
    <xdr:to>
      <xdr:col>6</xdr:col>
      <xdr:colOff>114300</xdr:colOff>
      <xdr:row>852</xdr:row>
      <xdr:rowOff>104775</xdr:rowOff>
    </xdr:to>
    <xdr:sp>
      <xdr:nvSpPr>
        <xdr:cNvPr id="15" name="TextBox 106"/>
        <xdr:cNvSpPr txBox="1">
          <a:spLocks noChangeArrowheads="1"/>
        </xdr:cNvSpPr>
      </xdr:nvSpPr>
      <xdr:spPr>
        <a:xfrm>
          <a:off x="1905000" y="136331325"/>
          <a:ext cx="3486150"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6</xdr:col>
      <xdr:colOff>495300</xdr:colOff>
      <xdr:row>839</xdr:row>
      <xdr:rowOff>38100</xdr:rowOff>
    </xdr:from>
    <xdr:to>
      <xdr:col>11</xdr:col>
      <xdr:colOff>171450</xdr:colOff>
      <xdr:row>852</xdr:row>
      <xdr:rowOff>123825</xdr:rowOff>
    </xdr:to>
    <xdr:sp>
      <xdr:nvSpPr>
        <xdr:cNvPr id="16" name="TextBox 107"/>
        <xdr:cNvSpPr txBox="1">
          <a:spLocks noChangeArrowheads="1"/>
        </xdr:cNvSpPr>
      </xdr:nvSpPr>
      <xdr:spPr>
        <a:xfrm>
          <a:off x="5772150" y="136350375"/>
          <a:ext cx="3486150"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2</xdr:col>
      <xdr:colOff>504825</xdr:colOff>
      <xdr:row>870</xdr:row>
      <xdr:rowOff>19050</xdr:rowOff>
    </xdr:from>
    <xdr:to>
      <xdr:col>7</xdr:col>
      <xdr:colOff>171450</xdr:colOff>
      <xdr:row>883</xdr:row>
      <xdr:rowOff>104775</xdr:rowOff>
    </xdr:to>
    <xdr:sp>
      <xdr:nvSpPr>
        <xdr:cNvPr id="17" name="TextBox 108"/>
        <xdr:cNvSpPr txBox="1">
          <a:spLocks noChangeArrowheads="1"/>
        </xdr:cNvSpPr>
      </xdr:nvSpPr>
      <xdr:spPr>
        <a:xfrm>
          <a:off x="2733675" y="141389100"/>
          <a:ext cx="3476625"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7</xdr:col>
      <xdr:colOff>400050</xdr:colOff>
      <xdr:row>870</xdr:row>
      <xdr:rowOff>9525</xdr:rowOff>
    </xdr:from>
    <xdr:to>
      <xdr:col>12</xdr:col>
      <xdr:colOff>76200</xdr:colOff>
      <xdr:row>883</xdr:row>
      <xdr:rowOff>95250</xdr:rowOff>
    </xdr:to>
    <xdr:sp>
      <xdr:nvSpPr>
        <xdr:cNvPr id="18" name="TextBox 109"/>
        <xdr:cNvSpPr txBox="1">
          <a:spLocks noChangeArrowheads="1"/>
        </xdr:cNvSpPr>
      </xdr:nvSpPr>
      <xdr:spPr>
        <a:xfrm>
          <a:off x="6438900" y="141379575"/>
          <a:ext cx="3486150"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3</xdr:col>
      <xdr:colOff>504825</xdr:colOff>
      <xdr:row>899</xdr:row>
      <xdr:rowOff>19050</xdr:rowOff>
    </xdr:from>
    <xdr:to>
      <xdr:col>8</xdr:col>
      <xdr:colOff>171450</xdr:colOff>
      <xdr:row>912</xdr:row>
      <xdr:rowOff>104775</xdr:rowOff>
    </xdr:to>
    <xdr:sp>
      <xdr:nvSpPr>
        <xdr:cNvPr id="19" name="TextBox 110"/>
        <xdr:cNvSpPr txBox="1">
          <a:spLocks noChangeArrowheads="1"/>
        </xdr:cNvSpPr>
      </xdr:nvSpPr>
      <xdr:spPr>
        <a:xfrm>
          <a:off x="3495675" y="146113500"/>
          <a:ext cx="3476625"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8</xdr:col>
      <xdr:colOff>504825</xdr:colOff>
      <xdr:row>899</xdr:row>
      <xdr:rowOff>19050</xdr:rowOff>
    </xdr:from>
    <xdr:to>
      <xdr:col>13</xdr:col>
      <xdr:colOff>190500</xdr:colOff>
      <xdr:row>912</xdr:row>
      <xdr:rowOff>104775</xdr:rowOff>
    </xdr:to>
    <xdr:sp>
      <xdr:nvSpPr>
        <xdr:cNvPr id="20" name="TextBox 111"/>
        <xdr:cNvSpPr txBox="1">
          <a:spLocks noChangeArrowheads="1"/>
        </xdr:cNvSpPr>
      </xdr:nvSpPr>
      <xdr:spPr>
        <a:xfrm>
          <a:off x="7305675" y="146113500"/>
          <a:ext cx="3495675"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2</xdr:col>
      <xdr:colOff>504825</xdr:colOff>
      <xdr:row>928</xdr:row>
      <xdr:rowOff>19050</xdr:rowOff>
    </xdr:from>
    <xdr:to>
      <xdr:col>7</xdr:col>
      <xdr:colOff>171450</xdr:colOff>
      <xdr:row>941</xdr:row>
      <xdr:rowOff>104775</xdr:rowOff>
    </xdr:to>
    <xdr:sp>
      <xdr:nvSpPr>
        <xdr:cNvPr id="21" name="TextBox 112"/>
        <xdr:cNvSpPr txBox="1">
          <a:spLocks noChangeArrowheads="1"/>
        </xdr:cNvSpPr>
      </xdr:nvSpPr>
      <xdr:spPr>
        <a:xfrm>
          <a:off x="2733675" y="150837900"/>
          <a:ext cx="3476625"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7</xdr:col>
      <xdr:colOff>504825</xdr:colOff>
      <xdr:row>928</xdr:row>
      <xdr:rowOff>19050</xdr:rowOff>
    </xdr:from>
    <xdr:to>
      <xdr:col>12</xdr:col>
      <xdr:colOff>180975</xdr:colOff>
      <xdr:row>941</xdr:row>
      <xdr:rowOff>104775</xdr:rowOff>
    </xdr:to>
    <xdr:sp>
      <xdr:nvSpPr>
        <xdr:cNvPr id="22" name="TextBox 113"/>
        <xdr:cNvSpPr txBox="1">
          <a:spLocks noChangeArrowheads="1"/>
        </xdr:cNvSpPr>
      </xdr:nvSpPr>
      <xdr:spPr>
        <a:xfrm>
          <a:off x="6543675" y="150837900"/>
          <a:ext cx="3486150"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1</xdr:col>
      <xdr:colOff>514350</xdr:colOff>
      <xdr:row>957</xdr:row>
      <xdr:rowOff>19050</xdr:rowOff>
    </xdr:from>
    <xdr:to>
      <xdr:col>6</xdr:col>
      <xdr:colOff>114300</xdr:colOff>
      <xdr:row>970</xdr:row>
      <xdr:rowOff>104775</xdr:rowOff>
    </xdr:to>
    <xdr:sp>
      <xdr:nvSpPr>
        <xdr:cNvPr id="23" name="TextBox 114"/>
        <xdr:cNvSpPr txBox="1">
          <a:spLocks noChangeArrowheads="1"/>
        </xdr:cNvSpPr>
      </xdr:nvSpPr>
      <xdr:spPr>
        <a:xfrm>
          <a:off x="1905000" y="155562300"/>
          <a:ext cx="3486150"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6</xdr:col>
      <xdr:colOff>504825</xdr:colOff>
      <xdr:row>957</xdr:row>
      <xdr:rowOff>19050</xdr:rowOff>
    </xdr:from>
    <xdr:to>
      <xdr:col>11</xdr:col>
      <xdr:colOff>171450</xdr:colOff>
      <xdr:row>970</xdr:row>
      <xdr:rowOff>104775</xdr:rowOff>
    </xdr:to>
    <xdr:sp>
      <xdr:nvSpPr>
        <xdr:cNvPr id="24" name="TextBox 115"/>
        <xdr:cNvSpPr txBox="1">
          <a:spLocks noChangeArrowheads="1"/>
        </xdr:cNvSpPr>
      </xdr:nvSpPr>
      <xdr:spPr>
        <a:xfrm>
          <a:off x="5781675" y="155562300"/>
          <a:ext cx="3476625"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1</xdr:col>
      <xdr:colOff>514350</xdr:colOff>
      <xdr:row>1093</xdr:row>
      <xdr:rowOff>19050</xdr:rowOff>
    </xdr:from>
    <xdr:to>
      <xdr:col>6</xdr:col>
      <xdr:colOff>114300</xdr:colOff>
      <xdr:row>1106</xdr:row>
      <xdr:rowOff>104775</xdr:rowOff>
    </xdr:to>
    <xdr:sp>
      <xdr:nvSpPr>
        <xdr:cNvPr id="25" name="TextBox 116"/>
        <xdr:cNvSpPr txBox="1">
          <a:spLocks noChangeArrowheads="1"/>
        </xdr:cNvSpPr>
      </xdr:nvSpPr>
      <xdr:spPr>
        <a:xfrm>
          <a:off x="1905000" y="177717450"/>
          <a:ext cx="3486150"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1</xdr:col>
      <xdr:colOff>514350</xdr:colOff>
      <xdr:row>1237</xdr:row>
      <xdr:rowOff>19050</xdr:rowOff>
    </xdr:from>
    <xdr:to>
      <xdr:col>6</xdr:col>
      <xdr:colOff>114300</xdr:colOff>
      <xdr:row>1250</xdr:row>
      <xdr:rowOff>104775</xdr:rowOff>
    </xdr:to>
    <xdr:sp>
      <xdr:nvSpPr>
        <xdr:cNvPr id="26" name="TextBox 117"/>
        <xdr:cNvSpPr txBox="1">
          <a:spLocks noChangeArrowheads="1"/>
        </xdr:cNvSpPr>
      </xdr:nvSpPr>
      <xdr:spPr>
        <a:xfrm>
          <a:off x="1905000" y="201177525"/>
          <a:ext cx="3486150"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twoCellAnchor>
    <xdr:from>
      <xdr:col>1</xdr:col>
      <xdr:colOff>514350</xdr:colOff>
      <xdr:row>1302</xdr:row>
      <xdr:rowOff>19050</xdr:rowOff>
    </xdr:from>
    <xdr:to>
      <xdr:col>6</xdr:col>
      <xdr:colOff>114300</xdr:colOff>
      <xdr:row>1315</xdr:row>
      <xdr:rowOff>104775</xdr:rowOff>
    </xdr:to>
    <xdr:sp>
      <xdr:nvSpPr>
        <xdr:cNvPr id="27" name="TextBox 118"/>
        <xdr:cNvSpPr txBox="1">
          <a:spLocks noChangeArrowheads="1"/>
        </xdr:cNvSpPr>
      </xdr:nvSpPr>
      <xdr:spPr>
        <a:xfrm>
          <a:off x="1905000" y="211769325"/>
          <a:ext cx="3486150" cy="21907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el gráfico</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cdr:x>
      <cdr:y>0.30375</cdr:y>
    </cdr:from>
    <cdr:to>
      <cdr:x>0.98275</cdr:x>
      <cdr:y>0.7175</cdr:y>
    </cdr:to>
    <cdr:sp>
      <cdr:nvSpPr>
        <cdr:cNvPr id="1" name="Line 1"/>
        <cdr:cNvSpPr>
          <a:spLocks/>
        </cdr:cNvSpPr>
      </cdr:nvSpPr>
      <cdr:spPr>
        <a:xfrm flipV="1">
          <a:off x="628650" y="1066800"/>
          <a:ext cx="4219575" cy="1457325"/>
        </a:xfrm>
        <a:prstGeom prst="line">
          <a:avLst/>
        </a:pr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0.30975</cdr:x>
      <cdr:y>0.39875</cdr:y>
    </cdr:from>
    <cdr:to>
      <cdr:x>0.3105</cdr:x>
      <cdr:y>0.80275</cdr:y>
    </cdr:to>
    <cdr:sp>
      <cdr:nvSpPr>
        <cdr:cNvPr id="2" name="Line 3"/>
        <cdr:cNvSpPr>
          <a:spLocks/>
        </cdr:cNvSpPr>
      </cdr:nvSpPr>
      <cdr:spPr>
        <a:xfrm flipV="1">
          <a:off x="1524000" y="1400175"/>
          <a:ext cx="0" cy="1419225"/>
        </a:xfrm>
        <a:prstGeom prst="line">
          <a:avLst/>
        </a:prstGeom>
        <a:noFill/>
        <a:ln w="9525"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0.469</cdr:x>
      <cdr:y>0.3575</cdr:y>
    </cdr:from>
    <cdr:to>
      <cdr:x>0.46975</cdr:x>
      <cdr:y>0.80275</cdr:y>
    </cdr:to>
    <cdr:sp>
      <cdr:nvSpPr>
        <cdr:cNvPr id="3" name="Line 4"/>
        <cdr:cNvSpPr>
          <a:spLocks/>
        </cdr:cNvSpPr>
      </cdr:nvSpPr>
      <cdr:spPr>
        <a:xfrm flipV="1">
          <a:off x="2314575" y="1247775"/>
          <a:ext cx="0" cy="1562100"/>
        </a:xfrm>
        <a:prstGeom prst="line">
          <a:avLst/>
        </a:prstGeom>
        <a:noFill/>
        <a:ln w="9525"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cdr:x>
      <cdr:y>0.63525</cdr:y>
    </cdr:from>
    <cdr:to>
      <cdr:x>0.309</cdr:x>
      <cdr:y>0.63625</cdr:y>
    </cdr:to>
    <cdr:sp>
      <cdr:nvSpPr>
        <cdr:cNvPr id="4" name="Line 6"/>
        <cdr:cNvSpPr>
          <a:spLocks/>
        </cdr:cNvSpPr>
      </cdr:nvSpPr>
      <cdr:spPr>
        <a:xfrm flipH="1" flipV="1">
          <a:off x="733425" y="2228850"/>
          <a:ext cx="790575" cy="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0.153</cdr:x>
      <cdr:y>0.5445</cdr:y>
    </cdr:from>
    <cdr:to>
      <cdr:x>0.4705</cdr:x>
      <cdr:y>0.545</cdr:y>
    </cdr:to>
    <cdr:sp>
      <cdr:nvSpPr>
        <cdr:cNvPr id="5" name="Line 7"/>
        <cdr:cNvSpPr>
          <a:spLocks/>
        </cdr:cNvSpPr>
      </cdr:nvSpPr>
      <cdr:spPr>
        <a:xfrm flipH="1">
          <a:off x="752475" y="1905000"/>
          <a:ext cx="1571625" cy="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0.185</cdr:x>
      <cdr:y>0.5445</cdr:y>
    </cdr:from>
    <cdr:to>
      <cdr:x>0.2305</cdr:x>
      <cdr:y>0.63525</cdr:y>
    </cdr:to>
    <cdr:sp>
      <cdr:nvSpPr>
        <cdr:cNvPr id="6" name="AutoShape 8"/>
        <cdr:cNvSpPr>
          <a:spLocks/>
        </cdr:cNvSpPr>
      </cdr:nvSpPr>
      <cdr:spPr>
        <a:xfrm>
          <a:off x="914400" y="1905000"/>
          <a:ext cx="228600" cy="314325"/>
        </a:xfrm>
        <a:prstGeom prst="rightBrace">
          <a:avLst/>
        </a:prstGeom>
        <a:noFill/>
        <a:ln w="952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cdr:x>
      <cdr:y>0.345</cdr:y>
    </cdr:from>
    <cdr:to>
      <cdr:x>0.50825</cdr:x>
      <cdr:y>0.41475</cdr:y>
    </cdr:to>
    <cdr:sp>
      <cdr:nvSpPr>
        <cdr:cNvPr id="7" name="AutoShape 9"/>
        <cdr:cNvSpPr>
          <a:spLocks/>
        </cdr:cNvSpPr>
      </cdr:nvSpPr>
      <cdr:spPr>
        <a:xfrm>
          <a:off x="1400175" y="1209675"/>
          <a:ext cx="1104900" cy="247650"/>
        </a:xfrm>
        <a:prstGeom prst="borderCallout1">
          <a:avLst>
            <a:gd name="adj1" fmla="val -72287"/>
            <a:gd name="adj2" fmla="val 305282"/>
            <a:gd name="adj3" fmla="val -57138"/>
            <a:gd name="adj4" fmla="val 4620"/>
            <a:gd name="adj5" fmla="val -80212"/>
            <a:gd name="adj6" fmla="val 278296"/>
            <a:gd name="adj7" fmla="val -72287"/>
            <a:gd name="adj8" fmla="val 305282"/>
          </a:avLst>
        </a:prstGeom>
        <a:noFill/>
        <a:ln w="9525" cmpd="sng">
          <a:solidFill>
            <a:srgbClr val="0000FF"/>
          </a:solidFill>
          <a:headEnd type="triangle"/>
          <a:tailEnd type="none"/>
        </a:ln>
      </cdr:spPr>
      <cdr:txBody>
        <a:bodyPr vertOverflow="clip" wrap="square"/>
        <a:p>
          <a:pPr algn="l">
            <a:defRPr/>
          </a:pPr>
          <a:r>
            <a:rPr lang="en-US" cap="none" sz="825" b="1" i="0" u="none" baseline="0">
              <a:solidFill>
                <a:srgbClr val="0000FF"/>
              </a:solidFill>
              <a:latin typeface="Arial"/>
              <a:ea typeface="Arial"/>
              <a:cs typeface="Arial"/>
            </a:rPr>
            <a:t>Pendiente = 0,55 m</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0.3285</cdr:y>
    </cdr:from>
    <cdr:to>
      <cdr:x>0.8935</cdr:x>
      <cdr:y>0.65975</cdr:y>
    </cdr:to>
    <cdr:sp>
      <cdr:nvSpPr>
        <cdr:cNvPr id="1" name="Line 1"/>
        <cdr:cNvSpPr>
          <a:spLocks/>
        </cdr:cNvSpPr>
      </cdr:nvSpPr>
      <cdr:spPr>
        <a:xfrm flipV="1">
          <a:off x="485775" y="1038225"/>
          <a:ext cx="3248025" cy="1047750"/>
        </a:xfrm>
        <a:prstGeom prst="line">
          <a:avLst/>
        </a:prstGeom>
        <a:noFill/>
        <a:ln w="952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0.2225</cdr:x>
      <cdr:y>0.28</cdr:y>
    </cdr:from>
    <cdr:to>
      <cdr:x>0.75825</cdr:x>
      <cdr:y>0.80075</cdr:y>
    </cdr:to>
    <cdr:sp>
      <cdr:nvSpPr>
        <cdr:cNvPr id="1" name="AutoShape 2"/>
        <cdr:cNvSpPr>
          <a:spLocks/>
        </cdr:cNvSpPr>
      </cdr:nvSpPr>
      <cdr:spPr>
        <a:xfrm>
          <a:off x="847725" y="771525"/>
          <a:ext cx="2047875" cy="1447800"/>
        </a:xfrm>
        <a:custGeom>
          <a:pathLst>
            <a:path h="1419225" w="2085975">
              <a:moveTo>
                <a:pt x="752475" y="0"/>
              </a:moveTo>
              <a:cubicBezTo>
                <a:pt x="846931" y="5556"/>
                <a:pt x="941387" y="11112"/>
                <a:pt x="1104900" y="76200"/>
              </a:cubicBezTo>
              <a:cubicBezTo>
                <a:pt x="1268413" y="141288"/>
                <a:pt x="1579563" y="287338"/>
                <a:pt x="1733550" y="390525"/>
              </a:cubicBezTo>
              <a:cubicBezTo>
                <a:pt x="1887537" y="493712"/>
                <a:pt x="2085975" y="588962"/>
                <a:pt x="2028825" y="695325"/>
              </a:cubicBezTo>
              <a:cubicBezTo>
                <a:pt x="1971675" y="801688"/>
                <a:pt x="1654175" y="920750"/>
                <a:pt x="1390650" y="1028700"/>
              </a:cubicBezTo>
              <a:cubicBezTo>
                <a:pt x="1127125" y="1136650"/>
                <a:pt x="679450" y="1277937"/>
                <a:pt x="447675" y="1343025"/>
              </a:cubicBezTo>
              <a:cubicBezTo>
                <a:pt x="215900" y="1408113"/>
                <a:pt x="74612" y="1406525"/>
                <a:pt x="0" y="1419225"/>
              </a:cubicBezTo>
            </a:path>
          </a:pathLst>
        </a:cu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cdr:x>
      <cdr:y>0.205</cdr:y>
    </cdr:from>
    <cdr:to>
      <cdr:x>0.85275</cdr:x>
      <cdr:y>0.73475</cdr:y>
    </cdr:to>
    <cdr:sp>
      <cdr:nvSpPr>
        <cdr:cNvPr id="1" name="AutoShape 2"/>
        <cdr:cNvSpPr>
          <a:spLocks/>
        </cdr:cNvSpPr>
      </cdr:nvSpPr>
      <cdr:spPr>
        <a:xfrm>
          <a:off x="1552575" y="571500"/>
          <a:ext cx="1666875" cy="1485900"/>
        </a:xfrm>
        <a:custGeom>
          <a:pathLst>
            <a:path h="1430337" w="1657350">
              <a:moveTo>
                <a:pt x="0" y="20637"/>
              </a:moveTo>
              <a:cubicBezTo>
                <a:pt x="39687" y="10318"/>
                <a:pt x="79375" y="0"/>
                <a:pt x="238125" y="58737"/>
              </a:cubicBezTo>
              <a:cubicBezTo>
                <a:pt x="396875" y="117474"/>
                <a:pt x="727075" y="265112"/>
                <a:pt x="952500" y="373062"/>
              </a:cubicBezTo>
              <a:cubicBezTo>
                <a:pt x="1177925" y="481012"/>
                <a:pt x="1524000" y="595312"/>
                <a:pt x="1590675" y="706437"/>
              </a:cubicBezTo>
              <a:cubicBezTo>
                <a:pt x="1657350" y="817562"/>
                <a:pt x="1552575" y="931862"/>
                <a:pt x="1352550" y="1039812"/>
              </a:cubicBezTo>
              <a:cubicBezTo>
                <a:pt x="1152525" y="1147762"/>
                <a:pt x="611188" y="1289049"/>
                <a:pt x="390525" y="1354137"/>
              </a:cubicBezTo>
              <a:cubicBezTo>
                <a:pt x="169862" y="1419225"/>
                <a:pt x="88900" y="1417637"/>
                <a:pt x="28575" y="1430337"/>
              </a:cubicBez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0.14475</cdr:y>
    </cdr:from>
    <cdr:to>
      <cdr:x>0.8115</cdr:x>
      <cdr:y>0.7785</cdr:y>
    </cdr:to>
    <cdr:sp>
      <cdr:nvSpPr>
        <cdr:cNvPr id="1" name="Line 5"/>
        <cdr:cNvSpPr>
          <a:spLocks/>
        </cdr:cNvSpPr>
      </cdr:nvSpPr>
      <cdr:spPr>
        <a:xfrm>
          <a:off x="2514600" y="428625"/>
          <a:ext cx="1419225" cy="19050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0.5255</cdr:x>
      <cdr:y>0.12</cdr:y>
    </cdr:from>
    <cdr:to>
      <cdr:x>0.88275</cdr:x>
      <cdr:y>0.82375</cdr:y>
    </cdr:to>
    <cdr:sp>
      <cdr:nvSpPr>
        <cdr:cNvPr id="1" name="Line 1"/>
        <cdr:cNvSpPr>
          <a:spLocks/>
        </cdr:cNvSpPr>
      </cdr:nvSpPr>
      <cdr:spPr>
        <a:xfrm flipV="1">
          <a:off x="2057400" y="352425"/>
          <a:ext cx="1400175" cy="20955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0.2635</cdr:x>
      <cdr:y>0.189</cdr:y>
    </cdr:from>
    <cdr:to>
      <cdr:x>0.75675</cdr:x>
      <cdr:y>0.776</cdr:y>
    </cdr:to>
    <cdr:sp>
      <cdr:nvSpPr>
        <cdr:cNvPr id="1" name="AutoShape 6"/>
        <cdr:cNvSpPr>
          <a:spLocks/>
        </cdr:cNvSpPr>
      </cdr:nvSpPr>
      <cdr:spPr>
        <a:xfrm>
          <a:off x="981075" y="504825"/>
          <a:ext cx="1847850" cy="1571625"/>
        </a:xfrm>
        <a:custGeom>
          <a:pathLst>
            <a:path h="1333500" w="1971675">
              <a:moveTo>
                <a:pt x="114300" y="0"/>
              </a:moveTo>
              <a:cubicBezTo>
                <a:pt x="231775" y="24606"/>
                <a:pt x="349250" y="49213"/>
                <a:pt x="600075" y="114300"/>
              </a:cubicBezTo>
              <a:cubicBezTo>
                <a:pt x="850900" y="179387"/>
                <a:pt x="1390650" y="300038"/>
                <a:pt x="1619250" y="390525"/>
              </a:cubicBezTo>
              <a:cubicBezTo>
                <a:pt x="1847850" y="481012"/>
                <a:pt x="1971675" y="565150"/>
                <a:pt x="1971675" y="657225"/>
              </a:cubicBezTo>
              <a:cubicBezTo>
                <a:pt x="1971675" y="749300"/>
                <a:pt x="1849437" y="850900"/>
                <a:pt x="1619250" y="942975"/>
              </a:cubicBezTo>
              <a:cubicBezTo>
                <a:pt x="1389063" y="1035050"/>
                <a:pt x="860425" y="1144587"/>
                <a:pt x="590550" y="1209675"/>
              </a:cubicBezTo>
              <a:cubicBezTo>
                <a:pt x="320675" y="1274763"/>
                <a:pt x="98425" y="1312863"/>
                <a:pt x="0" y="1333500"/>
              </a:cubicBezTo>
            </a:path>
          </a:pathLst>
        </a:cu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6.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7.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8.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0" sqref="A20:IV20"/>
    </sheetView>
  </sheetViews>
  <sheetFormatPr defaultColWidth="11.421875" defaultRowHeight="12.75"/>
  <cols>
    <col min="1" max="16384" width="11.421875" style="434" customWidth="1"/>
  </cols>
  <sheetData/>
  <sheetProtection password="89E6" sheet="1" objects="1" scenarios="1"/>
  <printOptions/>
  <pageMargins left="0.75" right="0.75" top="1" bottom="1" header="0" footer="0"/>
  <pageSetup horizontalDpi="120" verticalDpi="120" orientation="portrait" paperSize="9" r:id="rId2"/>
  <drawing r:id="rId1"/>
</worksheet>
</file>

<file path=xl/worksheets/sheet2.xml><?xml version="1.0" encoding="utf-8"?>
<worksheet xmlns="http://schemas.openxmlformats.org/spreadsheetml/2006/main" xmlns:r="http://schemas.openxmlformats.org/officeDocument/2006/relationships">
  <dimension ref="A8:J1324"/>
  <sheetViews>
    <sheetView workbookViewId="0" topLeftCell="A1305">
      <selection activeCell="B1303" sqref="B1303"/>
    </sheetView>
  </sheetViews>
  <sheetFormatPr defaultColWidth="11.421875" defaultRowHeight="12.75"/>
  <cols>
    <col min="1" max="1" width="20.8515625" style="0" customWidth="1"/>
    <col min="2" max="2" width="12.57421875" style="0" customWidth="1"/>
  </cols>
  <sheetData>
    <row r="8" ht="12.75">
      <c r="A8" s="1" t="s">
        <v>73</v>
      </c>
    </row>
    <row r="10" ht="12.75">
      <c r="A10" s="64" t="s">
        <v>74</v>
      </c>
    </row>
    <row r="11" spans="1:3" ht="12.75">
      <c r="A11" s="12"/>
      <c r="B11" s="13" t="s">
        <v>8</v>
      </c>
      <c r="C11" s="14" t="s">
        <v>8</v>
      </c>
    </row>
    <row r="12" spans="1:3" ht="13.5" thickBot="1">
      <c r="A12" s="15" t="s">
        <v>9</v>
      </c>
      <c r="B12" s="16" t="s">
        <v>10</v>
      </c>
      <c r="C12" s="17" t="s">
        <v>11</v>
      </c>
    </row>
    <row r="13" spans="1:3" ht="13.5" thickTop="1">
      <c r="A13" s="5">
        <v>1</v>
      </c>
      <c r="B13" s="65"/>
      <c r="C13" s="66"/>
    </row>
    <row r="14" spans="1:3" ht="12.75">
      <c r="A14" s="5">
        <v>2</v>
      </c>
      <c r="B14" s="65"/>
      <c r="C14" s="66"/>
    </row>
    <row r="15" spans="1:3" ht="12.75">
      <c r="A15" s="5">
        <v>3</v>
      </c>
      <c r="B15" s="65"/>
      <c r="C15" s="66"/>
    </row>
    <row r="16" spans="1:3" ht="12.75">
      <c r="A16" s="5">
        <v>4</v>
      </c>
      <c r="B16" s="65"/>
      <c r="C16" s="66"/>
    </row>
    <row r="17" spans="1:3" ht="12.75">
      <c r="A17" s="5">
        <v>5</v>
      </c>
      <c r="B17" s="65"/>
      <c r="C17" s="66"/>
    </row>
    <row r="18" spans="1:3" ht="12.75">
      <c r="A18" s="5">
        <v>6</v>
      </c>
      <c r="B18" s="65"/>
      <c r="C18" s="66"/>
    </row>
    <row r="19" spans="1:3" ht="12.75">
      <c r="A19" s="5">
        <v>7</v>
      </c>
      <c r="B19" s="65"/>
      <c r="C19" s="66"/>
    </row>
    <row r="20" spans="1:3" ht="12.75">
      <c r="A20" s="5">
        <v>8</v>
      </c>
      <c r="B20" s="65"/>
      <c r="C20" s="66"/>
    </row>
    <row r="21" spans="1:3" ht="12.75">
      <c r="A21" s="5">
        <v>9</v>
      </c>
      <c r="B21" s="65"/>
      <c r="C21" s="66"/>
    </row>
    <row r="22" spans="1:3" ht="12.75">
      <c r="A22" s="5">
        <v>10</v>
      </c>
      <c r="B22" s="65"/>
      <c r="C22" s="66"/>
    </row>
    <row r="23" spans="1:3" ht="12.75">
      <c r="A23" s="5">
        <v>11</v>
      </c>
      <c r="B23" s="65"/>
      <c r="C23" s="66"/>
    </row>
    <row r="24" spans="1:3" ht="12.75">
      <c r="A24" s="5">
        <v>12</v>
      </c>
      <c r="B24" s="65"/>
      <c r="C24" s="66"/>
    </row>
    <row r="25" spans="1:3" ht="12.75">
      <c r="A25" s="5">
        <v>13</v>
      </c>
      <c r="B25" s="65"/>
      <c r="C25" s="66"/>
    </row>
    <row r="26" spans="1:3" ht="12.75">
      <c r="A26" s="5">
        <v>14</v>
      </c>
      <c r="B26" s="65"/>
      <c r="C26" s="66"/>
    </row>
    <row r="27" spans="1:3" ht="12.75">
      <c r="A27" s="5">
        <v>15</v>
      </c>
      <c r="B27" s="65"/>
      <c r="C27" s="66"/>
    </row>
    <row r="28" spans="1:3" ht="12.75">
      <c r="A28" s="5">
        <v>16</v>
      </c>
      <c r="B28" s="65"/>
      <c r="C28" s="66"/>
    </row>
    <row r="29" spans="1:3" ht="12.75">
      <c r="A29" s="5">
        <v>17</v>
      </c>
      <c r="B29" s="65"/>
      <c r="C29" s="66"/>
    </row>
    <row r="30" spans="1:3" ht="12.75">
      <c r="A30" s="5">
        <v>18</v>
      </c>
      <c r="B30" s="65"/>
      <c r="C30" s="66"/>
    </row>
    <row r="31" spans="1:3" ht="12.75">
      <c r="A31" s="5">
        <v>19</v>
      </c>
      <c r="B31" s="65"/>
      <c r="C31" s="66"/>
    </row>
    <row r="32" spans="1:3" ht="12.75">
      <c r="A32" s="5">
        <v>20</v>
      </c>
      <c r="B32" s="65"/>
      <c r="C32" s="66"/>
    </row>
    <row r="33" spans="1:3" ht="12.75">
      <c r="A33" s="5">
        <v>21</v>
      </c>
      <c r="B33" s="65"/>
      <c r="C33" s="66"/>
    </row>
    <row r="34" spans="1:3" ht="12.75">
      <c r="A34" s="5">
        <v>22</v>
      </c>
      <c r="B34" s="65"/>
      <c r="C34" s="66"/>
    </row>
    <row r="35" spans="1:3" ht="12.75">
      <c r="A35" s="5">
        <v>23</v>
      </c>
      <c r="B35" s="65"/>
      <c r="C35" s="66"/>
    </row>
    <row r="36" spans="1:3" ht="12.75">
      <c r="A36" s="5">
        <v>24</v>
      </c>
      <c r="B36" s="65"/>
      <c r="C36" s="66"/>
    </row>
    <row r="37" spans="1:3" ht="12.75">
      <c r="A37" s="5">
        <v>25</v>
      </c>
      <c r="B37" s="65"/>
      <c r="C37" s="66"/>
    </row>
    <row r="38" spans="1:3" ht="12.75">
      <c r="A38" s="5">
        <v>26</v>
      </c>
      <c r="B38" s="65"/>
      <c r="C38" s="66"/>
    </row>
    <row r="39" spans="1:3" ht="12.75">
      <c r="A39" s="5">
        <v>27</v>
      </c>
      <c r="B39" s="65"/>
      <c r="C39" s="66"/>
    </row>
    <row r="40" spans="1:3" ht="12.75">
      <c r="A40" s="5">
        <v>28</v>
      </c>
      <c r="B40" s="65"/>
      <c r="C40" s="66"/>
    </row>
    <row r="41" spans="1:3" ht="12.75">
      <c r="A41" s="5">
        <v>29</v>
      </c>
      <c r="B41" s="65"/>
      <c r="C41" s="66"/>
    </row>
    <row r="42" spans="1:3" ht="12.75">
      <c r="A42" s="5">
        <v>30</v>
      </c>
      <c r="B42" s="65"/>
      <c r="C42" s="66"/>
    </row>
    <row r="43" spans="1:3" ht="12.75">
      <c r="A43" s="5">
        <v>31</v>
      </c>
      <c r="B43" s="65"/>
      <c r="C43" s="66"/>
    </row>
    <row r="44" spans="1:3" ht="12.75">
      <c r="A44" s="5">
        <v>32</v>
      </c>
      <c r="B44" s="65"/>
      <c r="C44" s="66"/>
    </row>
    <row r="45" spans="1:3" ht="12.75">
      <c r="A45" s="5">
        <v>33</v>
      </c>
      <c r="B45" s="65"/>
      <c r="C45" s="66"/>
    </row>
    <row r="46" spans="1:3" ht="12.75">
      <c r="A46" s="5">
        <v>34</v>
      </c>
      <c r="B46" s="65"/>
      <c r="C46" s="66"/>
    </row>
    <row r="47" spans="1:3" ht="12.75">
      <c r="A47" s="5">
        <v>35</v>
      </c>
      <c r="B47" s="65"/>
      <c r="C47" s="66"/>
    </row>
    <row r="48" spans="1:3" ht="12.75">
      <c r="A48" s="5">
        <v>36</v>
      </c>
      <c r="B48" s="65"/>
      <c r="C48" s="66"/>
    </row>
    <row r="49" spans="1:3" ht="12.75">
      <c r="A49" s="5">
        <v>37</v>
      </c>
      <c r="B49" s="65"/>
      <c r="C49" s="66"/>
    </row>
    <row r="50" spans="1:3" ht="12.75">
      <c r="A50" s="5">
        <v>38</v>
      </c>
      <c r="B50" s="65"/>
      <c r="C50" s="66"/>
    </row>
    <row r="51" spans="1:3" ht="12.75">
      <c r="A51" s="5">
        <v>39</v>
      </c>
      <c r="B51" s="65"/>
      <c r="C51" s="66"/>
    </row>
    <row r="52" spans="1:3" ht="12.75">
      <c r="A52" s="5">
        <v>40</v>
      </c>
      <c r="B52" s="65"/>
      <c r="C52" s="66"/>
    </row>
    <row r="53" spans="1:3" ht="12.75">
      <c r="A53" s="5">
        <v>41</v>
      </c>
      <c r="B53" s="65"/>
      <c r="C53" s="66"/>
    </row>
    <row r="54" spans="1:3" ht="12.75">
      <c r="A54" s="5">
        <v>42</v>
      </c>
      <c r="B54" s="65"/>
      <c r="C54" s="66"/>
    </row>
    <row r="55" spans="1:3" ht="12.75">
      <c r="A55" s="5">
        <v>43</v>
      </c>
      <c r="B55" s="65"/>
      <c r="C55" s="66"/>
    </row>
    <row r="56" spans="1:3" ht="12.75">
      <c r="A56" s="5">
        <v>44</v>
      </c>
      <c r="B56" s="65"/>
      <c r="C56" s="66"/>
    </row>
    <row r="57" spans="1:3" ht="12.75">
      <c r="A57" s="5">
        <v>45</v>
      </c>
      <c r="B57" s="65"/>
      <c r="C57" s="66"/>
    </row>
    <row r="58" spans="1:3" ht="12.75">
      <c r="A58" s="5">
        <v>46</v>
      </c>
      <c r="B58" s="65"/>
      <c r="C58" s="66"/>
    </row>
    <row r="59" spans="1:3" ht="12.75">
      <c r="A59" s="5">
        <v>47</v>
      </c>
      <c r="B59" s="65"/>
      <c r="C59" s="66"/>
    </row>
    <row r="60" spans="1:3" ht="12.75">
      <c r="A60" s="5">
        <v>48</v>
      </c>
      <c r="B60" s="65"/>
      <c r="C60" s="66"/>
    </row>
    <row r="61" spans="1:3" ht="12.75">
      <c r="A61" s="5">
        <v>49</v>
      </c>
      <c r="B61" s="65"/>
      <c r="C61" s="66"/>
    </row>
    <row r="62" spans="1:3" ht="12.75">
      <c r="A62" s="5">
        <v>50</v>
      </c>
      <c r="B62" s="65"/>
      <c r="C62" s="66"/>
    </row>
    <row r="63" spans="1:3" ht="12.75">
      <c r="A63" s="5">
        <v>51</v>
      </c>
      <c r="B63" s="65"/>
      <c r="C63" s="66"/>
    </row>
    <row r="64" spans="1:3" ht="12.75">
      <c r="A64" s="5">
        <v>52</v>
      </c>
      <c r="B64" s="65"/>
      <c r="C64" s="66"/>
    </row>
    <row r="65" spans="1:3" ht="12.75">
      <c r="A65" s="5">
        <v>53</v>
      </c>
      <c r="B65" s="65"/>
      <c r="C65" s="66"/>
    </row>
    <row r="66" spans="1:3" ht="12.75">
      <c r="A66" s="5">
        <v>54</v>
      </c>
      <c r="B66" s="65"/>
      <c r="C66" s="66"/>
    </row>
    <row r="67" spans="1:3" ht="12.75">
      <c r="A67" s="5">
        <v>55</v>
      </c>
      <c r="B67" s="65"/>
      <c r="C67" s="66"/>
    </row>
    <row r="68" spans="1:3" ht="12.75">
      <c r="A68" s="5">
        <v>56</v>
      </c>
      <c r="B68" s="65"/>
      <c r="C68" s="66"/>
    </row>
    <row r="69" spans="1:3" ht="12.75">
      <c r="A69" s="5">
        <v>57</v>
      </c>
      <c r="B69" s="65"/>
      <c r="C69" s="66"/>
    </row>
    <row r="70" spans="1:3" ht="12.75">
      <c r="A70" s="5">
        <v>58</v>
      </c>
      <c r="B70" s="65"/>
      <c r="C70" s="66"/>
    </row>
    <row r="71" spans="1:3" ht="12.75">
      <c r="A71" s="5">
        <v>59</v>
      </c>
      <c r="B71" s="65"/>
      <c r="C71" s="66"/>
    </row>
    <row r="72" spans="1:3" ht="12.75">
      <c r="A72" s="5">
        <v>60</v>
      </c>
      <c r="B72" s="65"/>
      <c r="C72" s="66"/>
    </row>
    <row r="73" spans="1:3" ht="12.75">
      <c r="A73" s="5">
        <v>61</v>
      </c>
      <c r="B73" s="65"/>
      <c r="C73" s="66"/>
    </row>
    <row r="74" spans="1:3" ht="12.75">
      <c r="A74" s="5">
        <v>62</v>
      </c>
      <c r="B74" s="65"/>
      <c r="C74" s="66"/>
    </row>
    <row r="75" spans="1:3" ht="12.75">
      <c r="A75" s="5">
        <v>63</v>
      </c>
      <c r="B75" s="65"/>
      <c r="C75" s="66"/>
    </row>
    <row r="76" spans="1:3" ht="12.75">
      <c r="A76" s="5">
        <v>64</v>
      </c>
      <c r="B76" s="65"/>
      <c r="C76" s="66"/>
    </row>
    <row r="77" spans="1:3" ht="12.75">
      <c r="A77" s="5">
        <v>65</v>
      </c>
      <c r="B77" s="65"/>
      <c r="C77" s="66"/>
    </row>
    <row r="78" spans="1:3" ht="12.75">
      <c r="A78" s="5">
        <v>66</v>
      </c>
      <c r="B78" s="65"/>
      <c r="C78" s="66"/>
    </row>
    <row r="79" spans="1:3" ht="12.75">
      <c r="A79" s="5">
        <v>67</v>
      </c>
      <c r="B79" s="65"/>
      <c r="C79" s="66"/>
    </row>
    <row r="80" spans="1:3" ht="12.75">
      <c r="A80" s="5">
        <v>68</v>
      </c>
      <c r="B80" s="65"/>
      <c r="C80" s="66"/>
    </row>
    <row r="81" spans="1:3" ht="12.75">
      <c r="A81" s="5">
        <v>69</v>
      </c>
      <c r="B81" s="65"/>
      <c r="C81" s="66"/>
    </row>
    <row r="82" spans="1:3" ht="12.75">
      <c r="A82" s="5">
        <v>70</v>
      </c>
      <c r="B82" s="65"/>
      <c r="C82" s="66"/>
    </row>
    <row r="83" spans="1:3" ht="12.75">
      <c r="A83" s="5">
        <v>71</v>
      </c>
      <c r="B83" s="65"/>
      <c r="C83" s="66"/>
    </row>
    <row r="84" spans="1:3" ht="12.75">
      <c r="A84" s="5">
        <v>72</v>
      </c>
      <c r="B84" s="65"/>
      <c r="C84" s="66"/>
    </row>
    <row r="85" spans="1:3" ht="12.75">
      <c r="A85" s="5">
        <v>73</v>
      </c>
      <c r="B85" s="65"/>
      <c r="C85" s="66"/>
    </row>
    <row r="86" spans="1:3" ht="12.75">
      <c r="A86" s="5">
        <v>74</v>
      </c>
      <c r="B86" s="65"/>
      <c r="C86" s="66"/>
    </row>
    <row r="87" spans="1:3" ht="12.75">
      <c r="A87" s="5">
        <v>75</v>
      </c>
      <c r="B87" s="65"/>
      <c r="C87" s="66"/>
    </row>
    <row r="88" spans="1:3" ht="12.75">
      <c r="A88" s="5">
        <v>76</v>
      </c>
      <c r="B88" s="65"/>
      <c r="C88" s="66"/>
    </row>
    <row r="89" spans="1:3" ht="12.75">
      <c r="A89" s="5">
        <v>77</v>
      </c>
      <c r="B89" s="65"/>
      <c r="C89" s="66"/>
    </row>
    <row r="90" spans="1:3" ht="12.75">
      <c r="A90" s="5">
        <v>78</v>
      </c>
      <c r="B90" s="65"/>
      <c r="C90" s="66"/>
    </row>
    <row r="91" spans="1:3" ht="12.75">
      <c r="A91" s="5">
        <v>79</v>
      </c>
      <c r="B91" s="65"/>
      <c r="C91" s="66"/>
    </row>
    <row r="92" spans="1:3" ht="12.75">
      <c r="A92" s="5">
        <v>80</v>
      </c>
      <c r="B92" s="65"/>
      <c r="C92" s="66"/>
    </row>
    <row r="93" spans="1:3" ht="12.75">
      <c r="A93" s="5">
        <v>81</v>
      </c>
      <c r="B93" s="65"/>
      <c r="C93" s="66"/>
    </row>
    <row r="94" spans="1:3" ht="12.75">
      <c r="A94" s="5">
        <v>82</v>
      </c>
      <c r="B94" s="65"/>
      <c r="C94" s="66"/>
    </row>
    <row r="95" spans="1:3" ht="12.75">
      <c r="A95" s="5">
        <v>83</v>
      </c>
      <c r="B95" s="65"/>
      <c r="C95" s="66"/>
    </row>
    <row r="96" spans="1:3" ht="12.75">
      <c r="A96" s="5">
        <v>84</v>
      </c>
      <c r="B96" s="65"/>
      <c r="C96" s="66"/>
    </row>
    <row r="97" spans="1:3" ht="12.75">
      <c r="A97" s="9">
        <v>85</v>
      </c>
      <c r="B97" s="67"/>
      <c r="C97" s="68"/>
    </row>
    <row r="98" spans="1:3" ht="12.75">
      <c r="A98" t="s">
        <v>372</v>
      </c>
      <c r="B98" s="20"/>
      <c r="C98" s="20"/>
    </row>
    <row r="100" ht="12.75">
      <c r="A100" s="64" t="s">
        <v>75</v>
      </c>
    </row>
    <row r="101" spans="1:3" ht="12.75">
      <c r="A101" s="12"/>
      <c r="B101" s="13" t="s">
        <v>8</v>
      </c>
      <c r="C101" s="14" t="s">
        <v>8</v>
      </c>
    </row>
    <row r="102" spans="1:3" ht="13.5" thickBot="1">
      <c r="A102" s="15" t="s">
        <v>9</v>
      </c>
      <c r="B102" s="16" t="s">
        <v>10</v>
      </c>
      <c r="C102" s="17" t="s">
        <v>11</v>
      </c>
    </row>
    <row r="103" spans="1:7" ht="13.5" thickTop="1">
      <c r="A103" s="5">
        <v>10</v>
      </c>
      <c r="B103" s="18"/>
      <c r="C103" s="19"/>
      <c r="G103" s="20"/>
    </row>
    <row r="104" spans="1:8" ht="12.75">
      <c r="A104" s="5">
        <v>48</v>
      </c>
      <c r="B104" s="18"/>
      <c r="C104" s="19"/>
      <c r="G104" s="20"/>
      <c r="H104" s="20"/>
    </row>
    <row r="105" spans="1:3" ht="12.75">
      <c r="A105" s="5">
        <v>70</v>
      </c>
      <c r="B105" s="18"/>
      <c r="C105" s="19"/>
    </row>
    <row r="106" spans="1:3" ht="12.75">
      <c r="A106" s="5">
        <v>61</v>
      </c>
      <c r="B106" s="18"/>
      <c r="C106" s="19"/>
    </row>
    <row r="107" spans="1:3" ht="12.75">
      <c r="A107" s="5">
        <v>1</v>
      </c>
      <c r="B107" s="18"/>
      <c r="C107" s="19"/>
    </row>
    <row r="108" spans="1:3" ht="12.75">
      <c r="A108" s="5">
        <v>38</v>
      </c>
      <c r="B108" s="18"/>
      <c r="C108" s="19"/>
    </row>
    <row r="109" spans="1:3" ht="12.75">
      <c r="A109" s="5">
        <v>47</v>
      </c>
      <c r="B109" s="18"/>
      <c r="C109" s="19"/>
    </row>
    <row r="110" spans="1:3" ht="12.75">
      <c r="A110" s="5">
        <v>73</v>
      </c>
      <c r="B110" s="18"/>
      <c r="C110" s="19"/>
    </row>
    <row r="111" spans="1:3" ht="12.75">
      <c r="A111" s="5">
        <v>85</v>
      </c>
      <c r="B111" s="18"/>
      <c r="C111" s="19"/>
    </row>
    <row r="112" spans="1:3" ht="12.75">
      <c r="A112" s="5">
        <v>81</v>
      </c>
      <c r="B112" s="18"/>
      <c r="C112" s="19"/>
    </row>
    <row r="113" spans="1:3" ht="12.75">
      <c r="A113" s="5">
        <v>2</v>
      </c>
      <c r="B113" s="18"/>
      <c r="C113" s="19"/>
    </row>
    <row r="114" spans="1:3" ht="12.75">
      <c r="A114" s="5">
        <v>79</v>
      </c>
      <c r="B114" s="18"/>
      <c r="C114" s="19"/>
    </row>
    <row r="115" spans="1:3" ht="12.75">
      <c r="A115" s="5">
        <v>51</v>
      </c>
      <c r="B115" s="18"/>
      <c r="C115" s="19"/>
    </row>
    <row r="116" spans="1:3" ht="12.75">
      <c r="A116" s="5">
        <v>55</v>
      </c>
      <c r="B116" s="18"/>
      <c r="C116" s="19"/>
    </row>
    <row r="117" spans="1:3" ht="12.75">
      <c r="A117" s="5">
        <v>77</v>
      </c>
      <c r="B117" s="18"/>
      <c r="C117" s="19"/>
    </row>
    <row r="118" spans="1:3" ht="12.75">
      <c r="A118" s="5">
        <v>67</v>
      </c>
      <c r="B118" s="18"/>
      <c r="C118" s="19"/>
    </row>
    <row r="119" spans="1:3" ht="12.75">
      <c r="A119" s="5">
        <v>64</v>
      </c>
      <c r="B119" s="18"/>
      <c r="C119" s="19"/>
    </row>
    <row r="120" spans="1:3" ht="12.75">
      <c r="A120" s="5">
        <v>4</v>
      </c>
      <c r="B120" s="18"/>
      <c r="C120" s="19"/>
    </row>
    <row r="121" spans="1:3" ht="12.75">
      <c r="A121" s="5">
        <v>12</v>
      </c>
      <c r="B121" s="18"/>
      <c r="C121" s="19"/>
    </row>
    <row r="122" spans="1:3" ht="12.75">
      <c r="A122" s="5">
        <v>75</v>
      </c>
      <c r="B122" s="18"/>
      <c r="C122" s="19"/>
    </row>
    <row r="123" spans="1:3" ht="12.75">
      <c r="A123" s="5">
        <v>37</v>
      </c>
      <c r="B123" s="18"/>
      <c r="C123" s="19"/>
    </row>
    <row r="124" spans="1:3" ht="12.75">
      <c r="A124" s="5">
        <v>14</v>
      </c>
      <c r="B124" s="18"/>
      <c r="C124" s="19"/>
    </row>
    <row r="125" spans="1:3" ht="12.75">
      <c r="A125" s="5">
        <v>46</v>
      </c>
      <c r="B125" s="18"/>
      <c r="C125" s="19"/>
    </row>
    <row r="126" spans="1:3" ht="12.75">
      <c r="A126" s="5">
        <v>18</v>
      </c>
      <c r="B126" s="18"/>
      <c r="C126" s="19"/>
    </row>
    <row r="127" spans="1:3" ht="12.75">
      <c r="A127" s="5">
        <v>22</v>
      </c>
      <c r="B127" s="18"/>
      <c r="C127" s="19"/>
    </row>
    <row r="128" spans="1:3" ht="12.75">
      <c r="A128" s="5">
        <v>27</v>
      </c>
      <c r="B128" s="18"/>
      <c r="C128" s="19"/>
    </row>
    <row r="129" spans="1:3" ht="12.75">
      <c r="A129" s="5">
        <v>24</v>
      </c>
      <c r="B129" s="18"/>
      <c r="C129" s="19"/>
    </row>
    <row r="130" spans="1:3" ht="12.75">
      <c r="A130" s="5">
        <v>5</v>
      </c>
      <c r="B130" s="18"/>
      <c r="C130" s="19"/>
    </row>
    <row r="131" spans="1:3" ht="12.75">
      <c r="A131" s="5">
        <v>57</v>
      </c>
      <c r="B131" s="18"/>
      <c r="C131" s="19"/>
    </row>
    <row r="132" spans="1:3" ht="12.75">
      <c r="A132" s="5">
        <v>65</v>
      </c>
      <c r="B132" s="18"/>
      <c r="C132" s="19"/>
    </row>
    <row r="133" spans="1:3" ht="12.75">
      <c r="A133" s="5">
        <v>20</v>
      </c>
      <c r="B133" s="18"/>
      <c r="C133" s="19"/>
    </row>
    <row r="134" spans="1:3" ht="12.75">
      <c r="A134" s="5">
        <v>30</v>
      </c>
      <c r="B134" s="18"/>
      <c r="C134" s="19"/>
    </row>
    <row r="135" spans="1:3" ht="12.75">
      <c r="A135" s="5">
        <v>63</v>
      </c>
      <c r="B135" s="18"/>
      <c r="C135" s="19"/>
    </row>
    <row r="136" spans="1:3" ht="12.75">
      <c r="A136" s="5">
        <v>31</v>
      </c>
      <c r="B136" s="18"/>
      <c r="C136" s="19"/>
    </row>
    <row r="137" spans="1:3" ht="12.75">
      <c r="A137" s="5">
        <v>54</v>
      </c>
      <c r="B137" s="18"/>
      <c r="C137" s="19"/>
    </row>
    <row r="138" spans="1:3" ht="12.75">
      <c r="A138" s="5">
        <v>60</v>
      </c>
      <c r="B138" s="18"/>
      <c r="C138" s="19"/>
    </row>
    <row r="139" spans="1:3" ht="12.75">
      <c r="A139" s="5">
        <v>53</v>
      </c>
      <c r="B139" s="18"/>
      <c r="C139" s="19"/>
    </row>
    <row r="140" spans="1:3" ht="12.75">
      <c r="A140" s="5">
        <v>62</v>
      </c>
      <c r="B140" s="18"/>
      <c r="C140" s="19"/>
    </row>
    <row r="141" spans="1:3" ht="12.75">
      <c r="A141" s="5">
        <v>40</v>
      </c>
      <c r="B141" s="18"/>
      <c r="C141" s="19"/>
    </row>
    <row r="142" spans="1:3" ht="12.75">
      <c r="A142" s="5">
        <v>49</v>
      </c>
      <c r="B142" s="18"/>
      <c r="C142" s="19"/>
    </row>
    <row r="143" spans="1:3" ht="12.75">
      <c r="A143" s="5">
        <v>28</v>
      </c>
      <c r="B143" s="18"/>
      <c r="C143" s="19"/>
    </row>
    <row r="144" spans="1:3" ht="12.75">
      <c r="A144" s="5">
        <v>19</v>
      </c>
      <c r="B144" s="18"/>
      <c r="C144" s="19"/>
    </row>
    <row r="145" spans="1:3" ht="12.75">
      <c r="A145" s="5">
        <v>21</v>
      </c>
      <c r="B145" s="18"/>
      <c r="C145" s="19"/>
    </row>
    <row r="146" spans="1:3" ht="12.75">
      <c r="A146" s="5">
        <v>71</v>
      </c>
      <c r="B146" s="18"/>
      <c r="C146" s="19"/>
    </row>
    <row r="147" spans="1:3" ht="12.75">
      <c r="A147" s="5">
        <v>36</v>
      </c>
      <c r="B147" s="18"/>
      <c r="C147" s="19"/>
    </row>
    <row r="148" spans="1:3" ht="12.75">
      <c r="A148" s="5">
        <v>59</v>
      </c>
      <c r="B148" s="18"/>
      <c r="C148" s="19"/>
    </row>
    <row r="149" spans="1:3" ht="12.75">
      <c r="A149" s="5">
        <v>50</v>
      </c>
      <c r="B149" s="18"/>
      <c r="C149" s="19"/>
    </row>
    <row r="150" spans="1:3" ht="12.75">
      <c r="A150" s="5">
        <v>66</v>
      </c>
      <c r="B150" s="18"/>
      <c r="C150" s="19"/>
    </row>
    <row r="151" spans="1:3" ht="12.75">
      <c r="A151" s="5">
        <v>41</v>
      </c>
      <c r="B151" s="18"/>
      <c r="C151" s="19"/>
    </row>
    <row r="152" spans="1:3" ht="12.75">
      <c r="A152" s="5">
        <v>29</v>
      </c>
      <c r="B152" s="18"/>
      <c r="C152" s="19"/>
    </row>
    <row r="153" spans="1:3" ht="12.75">
      <c r="A153" s="5">
        <v>6</v>
      </c>
      <c r="B153" s="18"/>
      <c r="C153" s="19"/>
    </row>
    <row r="154" spans="1:3" ht="12.75">
      <c r="A154" s="5">
        <v>34</v>
      </c>
      <c r="B154" s="18"/>
      <c r="C154" s="19"/>
    </row>
    <row r="155" spans="1:3" ht="12.75">
      <c r="A155" s="5">
        <v>68</v>
      </c>
      <c r="B155" s="18"/>
      <c r="C155" s="19"/>
    </row>
    <row r="156" spans="1:3" ht="12.75">
      <c r="A156" s="5">
        <v>52</v>
      </c>
      <c r="B156" s="18"/>
      <c r="C156" s="19"/>
    </row>
    <row r="157" spans="1:3" ht="12.75">
      <c r="A157" s="5">
        <v>17</v>
      </c>
      <c r="B157" s="18"/>
      <c r="C157" s="19"/>
    </row>
    <row r="158" spans="1:3" ht="12.75">
      <c r="A158" s="5">
        <v>35</v>
      </c>
      <c r="B158" s="18"/>
      <c r="C158" s="19"/>
    </row>
    <row r="159" spans="1:3" ht="12.75">
      <c r="A159" s="5">
        <v>7</v>
      </c>
      <c r="B159" s="18"/>
      <c r="C159" s="19"/>
    </row>
    <row r="160" spans="1:3" ht="12.75">
      <c r="A160" s="5">
        <v>16</v>
      </c>
      <c r="B160" s="18"/>
      <c r="C160" s="19"/>
    </row>
    <row r="161" spans="1:3" ht="12.75">
      <c r="A161" s="5">
        <v>13</v>
      </c>
      <c r="B161" s="18"/>
      <c r="C161" s="19"/>
    </row>
    <row r="162" spans="1:3" ht="12.75">
      <c r="A162" s="5">
        <v>11</v>
      </c>
      <c r="B162" s="18"/>
      <c r="C162" s="19"/>
    </row>
    <row r="163" spans="1:3" ht="12.75">
      <c r="A163" s="5">
        <v>78</v>
      </c>
      <c r="B163" s="18"/>
      <c r="C163" s="19"/>
    </row>
    <row r="164" spans="1:3" ht="12.75">
      <c r="A164" s="5">
        <v>83</v>
      </c>
      <c r="B164" s="18"/>
      <c r="C164" s="19"/>
    </row>
    <row r="165" spans="1:3" ht="12.75">
      <c r="A165" s="5">
        <v>56</v>
      </c>
      <c r="B165" s="18"/>
      <c r="C165" s="19"/>
    </row>
    <row r="166" spans="1:3" ht="12.75">
      <c r="A166" s="5">
        <v>42</v>
      </c>
      <c r="B166" s="18"/>
      <c r="C166" s="19"/>
    </row>
    <row r="167" spans="1:3" ht="12.75">
      <c r="A167" s="5">
        <v>69</v>
      </c>
      <c r="B167" s="18"/>
      <c r="C167" s="19"/>
    </row>
    <row r="168" spans="1:3" ht="12.75">
      <c r="A168" s="5">
        <v>58</v>
      </c>
      <c r="B168" s="18"/>
      <c r="C168" s="19"/>
    </row>
    <row r="169" spans="1:3" ht="12.75">
      <c r="A169" s="5">
        <v>3</v>
      </c>
      <c r="B169" s="18"/>
      <c r="C169" s="19"/>
    </row>
    <row r="170" spans="1:3" ht="12.75">
      <c r="A170" s="5">
        <v>39</v>
      </c>
      <c r="B170" s="18"/>
      <c r="C170" s="19"/>
    </row>
    <row r="171" spans="1:3" ht="12.75">
      <c r="A171" s="5">
        <v>76</v>
      </c>
      <c r="B171" s="18"/>
      <c r="C171" s="19"/>
    </row>
    <row r="172" spans="1:3" ht="12.75">
      <c r="A172" s="5">
        <v>74</v>
      </c>
      <c r="B172" s="18"/>
      <c r="C172" s="19"/>
    </row>
    <row r="173" spans="1:3" ht="12.75">
      <c r="A173" s="5">
        <v>25</v>
      </c>
      <c r="B173" s="18"/>
      <c r="C173" s="19"/>
    </row>
    <row r="174" spans="1:3" ht="12.75">
      <c r="A174" s="5">
        <v>32</v>
      </c>
      <c r="B174" s="18"/>
      <c r="C174" s="19"/>
    </row>
    <row r="175" spans="1:3" ht="12.75">
      <c r="A175" s="5">
        <v>45</v>
      </c>
      <c r="B175" s="18"/>
      <c r="C175" s="19"/>
    </row>
    <row r="176" spans="1:3" ht="12.75">
      <c r="A176" s="5">
        <v>82</v>
      </c>
      <c r="B176" s="18"/>
      <c r="C176" s="19"/>
    </row>
    <row r="177" spans="1:3" ht="12.75">
      <c r="A177" s="5">
        <v>44</v>
      </c>
      <c r="B177" s="18"/>
      <c r="C177" s="19"/>
    </row>
    <row r="178" spans="1:3" ht="12.75">
      <c r="A178" s="5">
        <v>8</v>
      </c>
      <c r="B178" s="18"/>
      <c r="C178" s="19"/>
    </row>
    <row r="179" spans="1:3" ht="12.75">
      <c r="A179" s="5">
        <v>43</v>
      </c>
      <c r="B179" s="18"/>
      <c r="C179" s="19"/>
    </row>
    <row r="180" spans="1:3" ht="12.75">
      <c r="A180" s="5">
        <v>23</v>
      </c>
      <c r="B180" s="18"/>
      <c r="C180" s="19"/>
    </row>
    <row r="181" spans="1:3" ht="12.75">
      <c r="A181" s="5">
        <v>80</v>
      </c>
      <c r="B181" s="18"/>
      <c r="C181" s="19"/>
    </row>
    <row r="182" spans="1:3" ht="12.75">
      <c r="A182" s="5">
        <v>9</v>
      </c>
      <c r="B182" s="18"/>
      <c r="C182" s="19"/>
    </row>
    <row r="183" spans="1:3" ht="12.75">
      <c r="A183" s="5">
        <v>26</v>
      </c>
      <c r="B183" s="18"/>
      <c r="C183" s="19"/>
    </row>
    <row r="184" spans="1:3" ht="12.75">
      <c r="A184" s="5">
        <v>84</v>
      </c>
      <c r="B184" s="18"/>
      <c r="C184" s="19"/>
    </row>
    <row r="185" spans="1:3" ht="12.75">
      <c r="A185" s="5">
        <v>33</v>
      </c>
      <c r="B185" s="18"/>
      <c r="C185" s="19"/>
    </row>
    <row r="186" spans="1:5" ht="12.75">
      <c r="A186" s="5">
        <v>15</v>
      </c>
      <c r="B186" s="18"/>
      <c r="C186" s="19"/>
      <c r="D186" s="20"/>
      <c r="E186" s="20"/>
    </row>
    <row r="187" spans="1:5" ht="12.75">
      <c r="A187" s="9">
        <v>72</v>
      </c>
      <c r="B187" s="22"/>
      <c r="C187" s="23"/>
      <c r="D187" s="20"/>
      <c r="E187" s="20"/>
    </row>
    <row r="188" spans="1:5" ht="12.75">
      <c r="A188" s="56" t="s">
        <v>104</v>
      </c>
      <c r="B188" s="69">
        <f>SUM(B103:B187)</f>
        <v>0</v>
      </c>
      <c r="C188" s="69">
        <f>SUM(C103:C187)</f>
        <v>0</v>
      </c>
      <c r="D188" s="20"/>
      <c r="E188" s="20"/>
    </row>
    <row r="189" spans="1:5" ht="12.75">
      <c r="A189" s="56"/>
      <c r="B189" s="69"/>
      <c r="C189" s="69"/>
      <c r="D189" s="20"/>
      <c r="E189" s="20"/>
    </row>
    <row r="213" ht="12.75">
      <c r="A213" s="64" t="s">
        <v>77</v>
      </c>
    </row>
    <row r="215" ht="12.75">
      <c r="A215" s="64" t="s">
        <v>76</v>
      </c>
    </row>
    <row r="216" spans="1:3" ht="12.75">
      <c r="A216" s="12" t="s">
        <v>78</v>
      </c>
      <c r="B216" s="24"/>
      <c r="C216" s="37"/>
    </row>
    <row r="217" spans="1:3" ht="12.75">
      <c r="A217" s="5" t="s">
        <v>79</v>
      </c>
      <c r="B217" s="6"/>
      <c r="C217" s="28"/>
    </row>
    <row r="218" spans="1:3" ht="12.75">
      <c r="A218" s="5" t="s">
        <v>80</v>
      </c>
      <c r="B218" s="6"/>
      <c r="C218" s="70"/>
    </row>
    <row r="219" spans="1:3" ht="12.75">
      <c r="A219" s="5" t="s">
        <v>81</v>
      </c>
      <c r="B219" s="6"/>
      <c r="C219" s="70"/>
    </row>
    <row r="220" spans="1:3" ht="12.75">
      <c r="A220" s="9" t="s">
        <v>82</v>
      </c>
      <c r="B220" s="10"/>
      <c r="C220" s="71"/>
    </row>
    <row r="223" spans="1:3" ht="13.5" thickBot="1">
      <c r="A223" s="72" t="s">
        <v>84</v>
      </c>
      <c r="B223" s="3"/>
      <c r="C223" s="35"/>
    </row>
    <row r="224" spans="1:3" ht="13.5" thickTop="1">
      <c r="A224" s="5" t="s">
        <v>83</v>
      </c>
      <c r="B224" s="6"/>
      <c r="C224" s="73"/>
    </row>
    <row r="225" spans="1:3" ht="12.75">
      <c r="A225" s="9" t="s">
        <v>5</v>
      </c>
      <c r="B225" s="10"/>
      <c r="C225" s="74"/>
    </row>
    <row r="226" spans="3:4" ht="12.75">
      <c r="C226" s="20"/>
      <c r="D226" s="20"/>
    </row>
    <row r="227" spans="3:4" ht="12.75">
      <c r="C227" s="20"/>
      <c r="D227" s="20"/>
    </row>
    <row r="228" spans="1:4" ht="12.75">
      <c r="A228" s="64" t="s">
        <v>287</v>
      </c>
      <c r="C228" s="20"/>
      <c r="D228" s="20"/>
    </row>
    <row r="229" spans="1:8" ht="12.75">
      <c r="A229" s="12"/>
      <c r="B229" s="13" t="s">
        <v>8</v>
      </c>
      <c r="C229" s="14" t="s">
        <v>8</v>
      </c>
      <c r="D229" s="75" t="s">
        <v>8</v>
      </c>
      <c r="E229" s="13" t="s">
        <v>85</v>
      </c>
      <c r="F229" s="76" t="s">
        <v>86</v>
      </c>
      <c r="H229" s="78"/>
    </row>
    <row r="230" spans="1:6" ht="13.5" thickBot="1">
      <c r="A230" s="15" t="s">
        <v>9</v>
      </c>
      <c r="B230" s="16" t="s">
        <v>10</v>
      </c>
      <c r="C230" s="17" t="s">
        <v>11</v>
      </c>
      <c r="D230" s="77" t="s">
        <v>87</v>
      </c>
      <c r="E230" s="16" t="s">
        <v>88</v>
      </c>
      <c r="F230" s="17" t="s">
        <v>89</v>
      </c>
    </row>
    <row r="231" spans="1:6" ht="13.5" thickTop="1">
      <c r="A231" s="5">
        <v>10</v>
      </c>
      <c r="B231" s="471"/>
      <c r="C231" s="472"/>
      <c r="D231" s="69"/>
      <c r="E231" s="96"/>
      <c r="F231" s="473"/>
    </row>
    <row r="232" spans="1:6" ht="12.75">
      <c r="A232" s="5">
        <v>48</v>
      </c>
      <c r="B232" s="471"/>
      <c r="C232" s="472"/>
      <c r="D232" s="69"/>
      <c r="E232" s="96"/>
      <c r="F232" s="473"/>
    </row>
    <row r="233" spans="1:6" ht="12.75">
      <c r="A233" s="5">
        <v>70</v>
      </c>
      <c r="B233" s="471"/>
      <c r="C233" s="472"/>
      <c r="D233" s="69"/>
      <c r="E233" s="96"/>
      <c r="F233" s="473"/>
    </row>
    <row r="234" spans="1:6" ht="12.75">
      <c r="A234" s="5">
        <v>61</v>
      </c>
      <c r="B234" s="471"/>
      <c r="C234" s="472"/>
      <c r="D234" s="69"/>
      <c r="E234" s="96"/>
      <c r="F234" s="473"/>
    </row>
    <row r="235" spans="1:6" ht="12.75">
      <c r="A235" s="5">
        <v>1</v>
      </c>
      <c r="B235" s="471"/>
      <c r="C235" s="472"/>
      <c r="D235" s="69"/>
      <c r="E235" s="96"/>
      <c r="F235" s="473"/>
    </row>
    <row r="236" spans="1:6" ht="12.75">
      <c r="A236" s="5">
        <v>38</v>
      </c>
      <c r="B236" s="471"/>
      <c r="C236" s="472"/>
      <c r="D236" s="69"/>
      <c r="E236" s="96"/>
      <c r="F236" s="473"/>
    </row>
    <row r="237" spans="1:6" ht="12.75">
      <c r="A237" s="5">
        <v>47</v>
      </c>
      <c r="B237" s="471"/>
      <c r="C237" s="472"/>
      <c r="D237" s="69"/>
      <c r="E237" s="96"/>
      <c r="F237" s="473"/>
    </row>
    <row r="238" spans="1:6" ht="12.75">
      <c r="A238" s="5">
        <v>73</v>
      </c>
      <c r="B238" s="471"/>
      <c r="C238" s="472"/>
      <c r="D238" s="69"/>
      <c r="E238" s="96"/>
      <c r="F238" s="473"/>
    </row>
    <row r="239" spans="1:6" ht="12.75">
      <c r="A239" s="5">
        <v>85</v>
      </c>
      <c r="B239" s="471"/>
      <c r="C239" s="472"/>
      <c r="D239" s="69"/>
      <c r="E239" s="96"/>
      <c r="F239" s="473"/>
    </row>
    <row r="240" spans="1:6" ht="12.75">
      <c r="A240" s="5">
        <v>81</v>
      </c>
      <c r="B240" s="471"/>
      <c r="C240" s="472"/>
      <c r="D240" s="69"/>
      <c r="E240" s="96"/>
      <c r="F240" s="473"/>
    </row>
    <row r="241" spans="1:6" ht="12.75">
      <c r="A241" s="5">
        <v>2</v>
      </c>
      <c r="B241" s="471"/>
      <c r="C241" s="472"/>
      <c r="D241" s="69"/>
      <c r="E241" s="96"/>
      <c r="F241" s="473"/>
    </row>
    <row r="242" spans="1:6" ht="12.75">
      <c r="A242" s="5">
        <v>79</v>
      </c>
      <c r="B242" s="471"/>
      <c r="C242" s="472"/>
      <c r="D242" s="69"/>
      <c r="E242" s="96"/>
      <c r="F242" s="473"/>
    </row>
    <row r="243" spans="1:6" ht="12.75">
      <c r="A243" s="5">
        <v>51</v>
      </c>
      <c r="B243" s="471"/>
      <c r="C243" s="472"/>
      <c r="D243" s="69"/>
      <c r="E243" s="96"/>
      <c r="F243" s="473"/>
    </row>
    <row r="244" spans="1:6" ht="12.75">
      <c r="A244" s="5">
        <v>55</v>
      </c>
      <c r="B244" s="471"/>
      <c r="C244" s="472"/>
      <c r="D244" s="69"/>
      <c r="E244" s="96"/>
      <c r="F244" s="473"/>
    </row>
    <row r="245" spans="1:6" ht="12.75">
      <c r="A245" s="5">
        <v>77</v>
      </c>
      <c r="B245" s="471"/>
      <c r="C245" s="472"/>
      <c r="D245" s="69"/>
      <c r="E245" s="96"/>
      <c r="F245" s="473"/>
    </row>
    <row r="246" spans="1:6" ht="12.75">
      <c r="A246" s="5">
        <v>67</v>
      </c>
      <c r="B246" s="471"/>
      <c r="C246" s="472"/>
      <c r="D246" s="69"/>
      <c r="E246" s="96"/>
      <c r="F246" s="473"/>
    </row>
    <row r="247" spans="1:6" ht="12.75">
      <c r="A247" s="5">
        <v>64</v>
      </c>
      <c r="B247" s="471"/>
      <c r="C247" s="472"/>
      <c r="D247" s="69"/>
      <c r="E247" s="96"/>
      <c r="F247" s="473"/>
    </row>
    <row r="248" spans="1:6" ht="12.75">
      <c r="A248" s="5">
        <v>4</v>
      </c>
      <c r="B248" s="471"/>
      <c r="C248" s="472"/>
      <c r="D248" s="69"/>
      <c r="E248" s="96"/>
      <c r="F248" s="473"/>
    </row>
    <row r="249" spans="1:6" ht="12.75">
      <c r="A249" s="5">
        <v>12</v>
      </c>
      <c r="B249" s="471"/>
      <c r="C249" s="472"/>
      <c r="D249" s="69"/>
      <c r="E249" s="96"/>
      <c r="F249" s="473"/>
    </row>
    <row r="250" spans="1:6" ht="12.75">
      <c r="A250" s="5">
        <v>75</v>
      </c>
      <c r="B250" s="471"/>
      <c r="C250" s="472"/>
      <c r="D250" s="69"/>
      <c r="E250" s="96"/>
      <c r="F250" s="473"/>
    </row>
    <row r="251" spans="1:6" ht="12.75">
      <c r="A251" s="5">
        <v>37</v>
      </c>
      <c r="B251" s="471"/>
      <c r="C251" s="472"/>
      <c r="D251" s="69"/>
      <c r="E251" s="96"/>
      <c r="F251" s="473"/>
    </row>
    <row r="252" spans="1:6" ht="12.75">
      <c r="A252" s="5">
        <v>14</v>
      </c>
      <c r="B252" s="471"/>
      <c r="C252" s="472"/>
      <c r="D252" s="69"/>
      <c r="E252" s="96"/>
      <c r="F252" s="473"/>
    </row>
    <row r="253" spans="1:6" ht="12.75">
      <c r="A253" s="5">
        <v>46</v>
      </c>
      <c r="B253" s="471"/>
      <c r="C253" s="472"/>
      <c r="D253" s="69"/>
      <c r="E253" s="96"/>
      <c r="F253" s="473"/>
    </row>
    <row r="254" spans="1:6" ht="12.75">
      <c r="A254" s="5">
        <v>18</v>
      </c>
      <c r="B254" s="471"/>
      <c r="C254" s="472"/>
      <c r="D254" s="69"/>
      <c r="E254" s="96"/>
      <c r="F254" s="473"/>
    </row>
    <row r="255" spans="1:6" ht="12.75">
      <c r="A255" s="5">
        <v>22</v>
      </c>
      <c r="B255" s="471"/>
      <c r="C255" s="472"/>
      <c r="D255" s="69"/>
      <c r="E255" s="96"/>
      <c r="F255" s="473"/>
    </row>
    <row r="256" spans="1:6" ht="12.75">
      <c r="A256" s="5">
        <v>27</v>
      </c>
      <c r="B256" s="471"/>
      <c r="C256" s="472"/>
      <c r="D256" s="69"/>
      <c r="E256" s="96"/>
      <c r="F256" s="473"/>
    </row>
    <row r="257" spans="1:6" ht="12.75">
      <c r="A257" s="5">
        <v>24</v>
      </c>
      <c r="B257" s="471"/>
      <c r="C257" s="472"/>
      <c r="D257" s="69"/>
      <c r="E257" s="96"/>
      <c r="F257" s="473"/>
    </row>
    <row r="258" spans="1:6" ht="12.75">
      <c r="A258" s="5">
        <v>5</v>
      </c>
      <c r="B258" s="471"/>
      <c r="C258" s="472"/>
      <c r="D258" s="69"/>
      <c r="E258" s="96"/>
      <c r="F258" s="473"/>
    </row>
    <row r="259" spans="1:6" ht="12.75">
      <c r="A259" s="5">
        <v>57</v>
      </c>
      <c r="B259" s="471"/>
      <c r="C259" s="472"/>
      <c r="D259" s="69"/>
      <c r="E259" s="96"/>
      <c r="F259" s="473"/>
    </row>
    <row r="260" spans="1:6" ht="12.75">
      <c r="A260" s="5">
        <v>65</v>
      </c>
      <c r="B260" s="471"/>
      <c r="C260" s="472"/>
      <c r="D260" s="69"/>
      <c r="E260" s="96"/>
      <c r="F260" s="473"/>
    </row>
    <row r="261" spans="1:6" ht="12.75">
      <c r="A261" s="5">
        <v>20</v>
      </c>
      <c r="B261" s="471"/>
      <c r="C261" s="472"/>
      <c r="D261" s="69"/>
      <c r="E261" s="96"/>
      <c r="F261" s="473"/>
    </row>
    <row r="262" spans="1:6" ht="12.75">
      <c r="A262" s="5">
        <v>30</v>
      </c>
      <c r="B262" s="471"/>
      <c r="C262" s="472"/>
      <c r="D262" s="69"/>
      <c r="E262" s="96"/>
      <c r="F262" s="473"/>
    </row>
    <row r="263" spans="1:6" ht="12.75">
      <c r="A263" s="5">
        <v>63</v>
      </c>
      <c r="B263" s="471"/>
      <c r="C263" s="472"/>
      <c r="D263" s="69"/>
      <c r="E263" s="96"/>
      <c r="F263" s="473"/>
    </row>
    <row r="264" spans="1:6" ht="12.75">
      <c r="A264" s="5">
        <v>31</v>
      </c>
      <c r="B264" s="471"/>
      <c r="C264" s="472"/>
      <c r="D264" s="69"/>
      <c r="E264" s="96"/>
      <c r="F264" s="473"/>
    </row>
    <row r="265" spans="1:6" ht="12.75">
      <c r="A265" s="5">
        <v>54</v>
      </c>
      <c r="B265" s="471"/>
      <c r="C265" s="472"/>
      <c r="D265" s="69"/>
      <c r="E265" s="96"/>
      <c r="F265" s="473"/>
    </row>
    <row r="266" spans="1:6" ht="12.75">
      <c r="A266" s="5">
        <v>60</v>
      </c>
      <c r="B266" s="471"/>
      <c r="C266" s="472"/>
      <c r="D266" s="69"/>
      <c r="E266" s="96"/>
      <c r="F266" s="473"/>
    </row>
    <row r="267" spans="1:6" ht="12.75">
      <c r="A267" s="5">
        <v>53</v>
      </c>
      <c r="B267" s="471"/>
      <c r="C267" s="472"/>
      <c r="D267" s="69"/>
      <c r="E267" s="96"/>
      <c r="F267" s="473"/>
    </row>
    <row r="268" spans="1:6" ht="12.75">
      <c r="A268" s="5">
        <v>62</v>
      </c>
      <c r="B268" s="471"/>
      <c r="C268" s="472"/>
      <c r="D268" s="69"/>
      <c r="E268" s="96"/>
      <c r="F268" s="473"/>
    </row>
    <row r="269" spans="1:6" ht="12.75">
      <c r="A269" s="5">
        <v>40</v>
      </c>
      <c r="B269" s="471"/>
      <c r="C269" s="472"/>
      <c r="D269" s="69"/>
      <c r="E269" s="96"/>
      <c r="F269" s="473"/>
    </row>
    <row r="270" spans="1:6" ht="12.75">
      <c r="A270" s="5">
        <v>49</v>
      </c>
      <c r="B270" s="471"/>
      <c r="C270" s="472"/>
      <c r="D270" s="69"/>
      <c r="E270" s="96"/>
      <c r="F270" s="473"/>
    </row>
    <row r="271" spans="1:6" ht="12.75">
      <c r="A271" s="5">
        <v>28</v>
      </c>
      <c r="B271" s="471"/>
      <c r="C271" s="472"/>
      <c r="D271" s="69"/>
      <c r="E271" s="96"/>
      <c r="F271" s="473"/>
    </row>
    <row r="272" spans="1:6" ht="12.75">
      <c r="A272" s="5">
        <v>19</v>
      </c>
      <c r="B272" s="471"/>
      <c r="C272" s="472"/>
      <c r="D272" s="69"/>
      <c r="E272" s="96"/>
      <c r="F272" s="473"/>
    </row>
    <row r="273" spans="1:6" ht="12.75">
      <c r="A273" s="5">
        <v>21</v>
      </c>
      <c r="B273" s="471"/>
      <c r="C273" s="472"/>
      <c r="D273" s="69"/>
      <c r="E273" s="96"/>
      <c r="F273" s="473"/>
    </row>
    <row r="274" spans="1:6" ht="12.75">
      <c r="A274" s="5">
        <v>71</v>
      </c>
      <c r="B274" s="471"/>
      <c r="C274" s="472"/>
      <c r="D274" s="69"/>
      <c r="E274" s="96"/>
      <c r="F274" s="473"/>
    </row>
    <row r="275" spans="1:6" ht="12.75">
      <c r="A275" s="5">
        <v>36</v>
      </c>
      <c r="B275" s="471"/>
      <c r="C275" s="472"/>
      <c r="D275" s="69"/>
      <c r="E275" s="96"/>
      <c r="F275" s="473"/>
    </row>
    <row r="276" spans="1:6" ht="12.75">
      <c r="A276" s="5">
        <v>59</v>
      </c>
      <c r="B276" s="471"/>
      <c r="C276" s="472"/>
      <c r="D276" s="69"/>
      <c r="E276" s="96"/>
      <c r="F276" s="473"/>
    </row>
    <row r="277" spans="1:6" ht="12.75">
      <c r="A277" s="5">
        <v>50</v>
      </c>
      <c r="B277" s="471"/>
      <c r="C277" s="472"/>
      <c r="D277" s="69"/>
      <c r="E277" s="96"/>
      <c r="F277" s="473"/>
    </row>
    <row r="278" spans="1:6" ht="12.75">
      <c r="A278" s="5">
        <v>66</v>
      </c>
      <c r="B278" s="471"/>
      <c r="C278" s="472"/>
      <c r="D278" s="69"/>
      <c r="E278" s="96"/>
      <c r="F278" s="473"/>
    </row>
    <row r="279" spans="1:6" ht="12.75">
      <c r="A279" s="5">
        <v>41</v>
      </c>
      <c r="B279" s="471"/>
      <c r="C279" s="472"/>
      <c r="D279" s="69"/>
      <c r="E279" s="96"/>
      <c r="F279" s="473"/>
    </row>
    <row r="280" spans="1:6" ht="12.75">
      <c r="A280" s="5">
        <v>29</v>
      </c>
      <c r="B280" s="471"/>
      <c r="C280" s="472"/>
      <c r="D280" s="69"/>
      <c r="E280" s="96"/>
      <c r="F280" s="473"/>
    </row>
    <row r="281" spans="1:6" ht="12.75">
      <c r="A281" s="5">
        <v>6</v>
      </c>
      <c r="B281" s="471"/>
      <c r="C281" s="472"/>
      <c r="D281" s="69"/>
      <c r="E281" s="96"/>
      <c r="F281" s="473"/>
    </row>
    <row r="282" spans="1:6" ht="12.75">
      <c r="A282" s="5">
        <v>34</v>
      </c>
      <c r="B282" s="471"/>
      <c r="C282" s="472"/>
      <c r="D282" s="69"/>
      <c r="E282" s="96"/>
      <c r="F282" s="473"/>
    </row>
    <row r="283" spans="1:6" ht="12.75">
      <c r="A283" s="5">
        <v>68</v>
      </c>
      <c r="B283" s="471"/>
      <c r="C283" s="472"/>
      <c r="D283" s="69"/>
      <c r="E283" s="96"/>
      <c r="F283" s="473"/>
    </row>
    <row r="284" spans="1:6" ht="12.75">
      <c r="A284" s="5">
        <v>52</v>
      </c>
      <c r="B284" s="471"/>
      <c r="C284" s="472"/>
      <c r="D284" s="69"/>
      <c r="E284" s="96"/>
      <c r="F284" s="473"/>
    </row>
    <row r="285" spans="1:6" ht="12.75">
      <c r="A285" s="5">
        <v>17</v>
      </c>
      <c r="B285" s="471"/>
      <c r="C285" s="472"/>
      <c r="D285" s="69"/>
      <c r="E285" s="96"/>
      <c r="F285" s="473"/>
    </row>
    <row r="286" spans="1:6" ht="12.75">
      <c r="A286" s="5">
        <v>35</v>
      </c>
      <c r="B286" s="471"/>
      <c r="C286" s="472"/>
      <c r="D286" s="69"/>
      <c r="E286" s="96"/>
      <c r="F286" s="473"/>
    </row>
    <row r="287" spans="1:6" ht="12.75">
      <c r="A287" s="5">
        <v>7</v>
      </c>
      <c r="B287" s="471"/>
      <c r="C287" s="472"/>
      <c r="D287" s="69"/>
      <c r="E287" s="96"/>
      <c r="F287" s="473"/>
    </row>
    <row r="288" spans="1:6" ht="12.75">
      <c r="A288" s="5">
        <v>16</v>
      </c>
      <c r="B288" s="471"/>
      <c r="C288" s="472"/>
      <c r="D288" s="69"/>
      <c r="E288" s="96"/>
      <c r="F288" s="473"/>
    </row>
    <row r="289" spans="1:6" ht="12.75">
      <c r="A289" s="5">
        <v>13</v>
      </c>
      <c r="B289" s="471"/>
      <c r="C289" s="472"/>
      <c r="D289" s="69"/>
      <c r="E289" s="96"/>
      <c r="F289" s="473"/>
    </row>
    <row r="290" spans="1:6" ht="12.75">
      <c r="A290" s="5">
        <v>11</v>
      </c>
      <c r="B290" s="471"/>
      <c r="C290" s="472"/>
      <c r="D290" s="69"/>
      <c r="E290" s="96"/>
      <c r="F290" s="473"/>
    </row>
    <row r="291" spans="1:6" ht="12.75">
      <c r="A291" s="5">
        <v>78</v>
      </c>
      <c r="B291" s="471"/>
      <c r="C291" s="472"/>
      <c r="D291" s="69"/>
      <c r="E291" s="96"/>
      <c r="F291" s="473"/>
    </row>
    <row r="292" spans="1:6" ht="12.75">
      <c r="A292" s="5">
        <v>83</v>
      </c>
      <c r="B292" s="471"/>
      <c r="C292" s="472"/>
      <c r="D292" s="69"/>
      <c r="E292" s="96"/>
      <c r="F292" s="473"/>
    </row>
    <row r="293" spans="1:6" ht="12.75">
      <c r="A293" s="5">
        <v>56</v>
      </c>
      <c r="B293" s="471"/>
      <c r="C293" s="472"/>
      <c r="D293" s="69"/>
      <c r="E293" s="96"/>
      <c r="F293" s="473"/>
    </row>
    <row r="294" spans="1:6" ht="12.75">
      <c r="A294" s="5">
        <v>42</v>
      </c>
      <c r="B294" s="471"/>
      <c r="C294" s="472"/>
      <c r="D294" s="69"/>
      <c r="E294" s="96"/>
      <c r="F294" s="473"/>
    </row>
    <row r="295" spans="1:6" ht="12.75">
      <c r="A295" s="5">
        <v>69</v>
      </c>
      <c r="B295" s="471"/>
      <c r="C295" s="472"/>
      <c r="D295" s="69"/>
      <c r="E295" s="96"/>
      <c r="F295" s="473"/>
    </row>
    <row r="296" spans="1:6" ht="12.75">
      <c r="A296" s="5">
        <v>58</v>
      </c>
      <c r="B296" s="471"/>
      <c r="C296" s="472"/>
      <c r="D296" s="69"/>
      <c r="E296" s="96"/>
      <c r="F296" s="473"/>
    </row>
    <row r="297" spans="1:6" ht="12.75">
      <c r="A297" s="5">
        <v>3</v>
      </c>
      <c r="B297" s="471"/>
      <c r="C297" s="472"/>
      <c r="D297" s="69"/>
      <c r="E297" s="96"/>
      <c r="F297" s="473"/>
    </row>
    <row r="298" spans="1:6" ht="12.75">
      <c r="A298" s="5">
        <v>39</v>
      </c>
      <c r="B298" s="471"/>
      <c r="C298" s="472"/>
      <c r="D298" s="69"/>
      <c r="E298" s="96"/>
      <c r="F298" s="473"/>
    </row>
    <row r="299" spans="1:6" ht="12.75">
      <c r="A299" s="5">
        <v>76</v>
      </c>
      <c r="B299" s="471"/>
      <c r="C299" s="472"/>
      <c r="D299" s="69"/>
      <c r="E299" s="96"/>
      <c r="F299" s="473"/>
    </row>
    <row r="300" spans="1:6" ht="12.75">
      <c r="A300" s="5">
        <v>74</v>
      </c>
      <c r="B300" s="471"/>
      <c r="C300" s="472"/>
      <c r="D300" s="69"/>
      <c r="E300" s="96"/>
      <c r="F300" s="473"/>
    </row>
    <row r="301" spans="1:6" ht="12.75">
      <c r="A301" s="5">
        <v>25</v>
      </c>
      <c r="B301" s="471"/>
      <c r="C301" s="472"/>
      <c r="D301" s="69"/>
      <c r="E301" s="96"/>
      <c r="F301" s="473"/>
    </row>
    <row r="302" spans="1:6" ht="12.75">
      <c r="A302" s="5">
        <v>32</v>
      </c>
      <c r="B302" s="471"/>
      <c r="C302" s="472"/>
      <c r="D302" s="69"/>
      <c r="E302" s="96"/>
      <c r="F302" s="473"/>
    </row>
    <row r="303" spans="1:6" ht="12.75">
      <c r="A303" s="5">
        <v>45</v>
      </c>
      <c r="B303" s="471"/>
      <c r="C303" s="472"/>
      <c r="D303" s="69"/>
      <c r="E303" s="96"/>
      <c r="F303" s="473"/>
    </row>
    <row r="304" spans="1:6" ht="12.75">
      <c r="A304" s="5">
        <v>82</v>
      </c>
      <c r="B304" s="471"/>
      <c r="C304" s="472"/>
      <c r="D304" s="69"/>
      <c r="E304" s="96"/>
      <c r="F304" s="473"/>
    </row>
    <row r="305" spans="1:6" ht="12.75">
      <c r="A305" s="5">
        <v>44</v>
      </c>
      <c r="B305" s="471"/>
      <c r="C305" s="472"/>
      <c r="D305" s="69"/>
      <c r="E305" s="96"/>
      <c r="F305" s="473"/>
    </row>
    <row r="306" spans="1:6" ht="12.75">
      <c r="A306" s="5">
        <v>8</v>
      </c>
      <c r="B306" s="471"/>
      <c r="C306" s="472"/>
      <c r="D306" s="69"/>
      <c r="E306" s="96"/>
      <c r="F306" s="473"/>
    </row>
    <row r="307" spans="1:6" ht="12.75">
      <c r="A307" s="5">
        <v>43</v>
      </c>
      <c r="B307" s="471"/>
      <c r="C307" s="472"/>
      <c r="D307" s="69"/>
      <c r="E307" s="96"/>
      <c r="F307" s="473"/>
    </row>
    <row r="308" spans="1:6" ht="12.75">
      <c r="A308" s="5">
        <v>23</v>
      </c>
      <c r="B308" s="471"/>
      <c r="C308" s="472"/>
      <c r="D308" s="69"/>
      <c r="E308" s="96"/>
      <c r="F308" s="473"/>
    </row>
    <row r="309" spans="1:6" ht="12.75">
      <c r="A309" s="5">
        <v>80</v>
      </c>
      <c r="B309" s="471"/>
      <c r="C309" s="472"/>
      <c r="D309" s="69"/>
      <c r="E309" s="96"/>
      <c r="F309" s="473"/>
    </row>
    <row r="310" spans="1:6" ht="12.75">
      <c r="A310" s="5">
        <v>9</v>
      </c>
      <c r="B310" s="471"/>
      <c r="C310" s="472"/>
      <c r="D310" s="69"/>
      <c r="E310" s="96"/>
      <c r="F310" s="473"/>
    </row>
    <row r="311" spans="1:6" ht="12.75">
      <c r="A311" s="5">
        <v>26</v>
      </c>
      <c r="B311" s="471"/>
      <c r="C311" s="472"/>
      <c r="D311" s="69"/>
      <c r="E311" s="96"/>
      <c r="F311" s="473"/>
    </row>
    <row r="312" spans="1:6" ht="12.75">
      <c r="A312" s="5">
        <v>84</v>
      </c>
      <c r="B312" s="471"/>
      <c r="C312" s="472"/>
      <c r="D312" s="69"/>
      <c r="E312" s="96"/>
      <c r="F312" s="473"/>
    </row>
    <row r="313" spans="1:6" ht="12.75">
      <c r="A313" s="5">
        <v>33</v>
      </c>
      <c r="B313" s="471"/>
      <c r="C313" s="472"/>
      <c r="D313" s="69"/>
      <c r="E313" s="96"/>
      <c r="F313" s="473"/>
    </row>
    <row r="314" spans="1:6" ht="12.75">
      <c r="A314" s="5">
        <v>15</v>
      </c>
      <c r="B314" s="471"/>
      <c r="C314" s="472"/>
      <c r="D314" s="69"/>
      <c r="E314" s="96"/>
      <c r="F314" s="473"/>
    </row>
    <row r="315" spans="1:6" ht="12.75">
      <c r="A315" s="9">
        <v>72</v>
      </c>
      <c r="B315" s="474"/>
      <c r="C315" s="475"/>
      <c r="D315" s="69"/>
      <c r="E315" s="97"/>
      <c r="F315" s="476"/>
    </row>
    <row r="316" spans="1:6" ht="12.75">
      <c r="A316" s="9" t="s">
        <v>90</v>
      </c>
      <c r="B316" s="81"/>
      <c r="C316" s="81"/>
      <c r="D316" s="81"/>
      <c r="E316" s="84"/>
      <c r="F316" s="88"/>
    </row>
    <row r="318" ht="12.75">
      <c r="A318" s="64" t="s">
        <v>288</v>
      </c>
    </row>
    <row r="346" ht="12.75">
      <c r="A346" s="64" t="s">
        <v>91</v>
      </c>
    </row>
    <row r="347" spans="1:3" ht="13.5" thickBot="1">
      <c r="A347" s="92" t="s">
        <v>27</v>
      </c>
      <c r="B347" s="4" t="s">
        <v>10</v>
      </c>
      <c r="C347" s="4" t="s">
        <v>11</v>
      </c>
    </row>
    <row r="348" spans="1:4" ht="13.5" thickTop="1">
      <c r="A348" s="89" t="s">
        <v>92</v>
      </c>
      <c r="B348" s="39"/>
      <c r="C348" s="39"/>
      <c r="D348" s="51"/>
    </row>
    <row r="349" spans="1:3" ht="12.75">
      <c r="A349" s="89" t="s">
        <v>93</v>
      </c>
      <c r="B349" s="39"/>
      <c r="C349" s="39"/>
    </row>
    <row r="350" spans="1:3" ht="12.75">
      <c r="A350" s="89" t="s">
        <v>94</v>
      </c>
      <c r="B350" s="70"/>
      <c r="C350" s="70"/>
    </row>
    <row r="351" spans="1:3" ht="12.75">
      <c r="A351" s="89" t="s">
        <v>95</v>
      </c>
      <c r="B351" s="70"/>
      <c r="C351" s="70"/>
    </row>
    <row r="352" spans="1:3" ht="12.75">
      <c r="A352" s="89" t="s">
        <v>96</v>
      </c>
      <c r="B352" s="39"/>
      <c r="C352" s="39"/>
    </row>
    <row r="353" spans="1:3" ht="12.75">
      <c r="A353" s="89" t="s">
        <v>97</v>
      </c>
      <c r="B353" s="39"/>
      <c r="C353" s="39"/>
    </row>
    <row r="354" spans="1:3" ht="12.75">
      <c r="A354" s="90" t="s">
        <v>98</v>
      </c>
      <c r="B354" s="93"/>
      <c r="C354" s="93"/>
    </row>
    <row r="355" spans="1:3" ht="12.75">
      <c r="A355" s="89" t="s">
        <v>99</v>
      </c>
      <c r="B355" s="39"/>
      <c r="C355" s="39"/>
    </row>
    <row r="356" spans="1:3" ht="12.75">
      <c r="A356" s="89" t="s">
        <v>100</v>
      </c>
      <c r="B356" s="70"/>
      <c r="C356" s="70"/>
    </row>
    <row r="357" spans="1:3" ht="12.75">
      <c r="A357" s="89" t="s">
        <v>101</v>
      </c>
      <c r="B357" s="70"/>
      <c r="C357" s="70"/>
    </row>
    <row r="358" spans="1:3" ht="12.75">
      <c r="A358" s="89" t="s">
        <v>102</v>
      </c>
      <c r="B358" s="70"/>
      <c r="C358" s="70"/>
    </row>
    <row r="359" spans="1:3" ht="12.75">
      <c r="A359" s="89" t="s">
        <v>103</v>
      </c>
      <c r="B359" s="70"/>
      <c r="C359" s="70"/>
    </row>
    <row r="360" spans="1:3" ht="12.75">
      <c r="A360" s="89" t="s">
        <v>104</v>
      </c>
      <c r="B360" s="70"/>
      <c r="C360" s="70"/>
    </row>
    <row r="361" spans="1:3" ht="12.75">
      <c r="A361" s="91" t="s">
        <v>105</v>
      </c>
      <c r="B361" s="53"/>
      <c r="C361" s="53"/>
    </row>
    <row r="364" ht="12.75">
      <c r="A364" s="64" t="s">
        <v>109</v>
      </c>
    </row>
    <row r="365" spans="1:2" ht="13.5" thickBot="1">
      <c r="A365" s="94" t="s">
        <v>106</v>
      </c>
      <c r="B365" s="98"/>
    </row>
    <row r="366" spans="1:2" ht="12.75">
      <c r="A366" s="5" t="s">
        <v>107</v>
      </c>
      <c r="B366" s="96"/>
    </row>
    <row r="367" spans="1:2" ht="12.75">
      <c r="A367" s="9" t="s">
        <v>108</v>
      </c>
      <c r="B367" s="97"/>
    </row>
    <row r="370" spans="1:3" ht="13.5" thickBot="1">
      <c r="A370" s="100" t="s">
        <v>110</v>
      </c>
      <c r="B370" s="101"/>
      <c r="C370" s="102"/>
    </row>
    <row r="371" spans="1:3" ht="13.5" thickTop="1">
      <c r="A371" s="5" t="s">
        <v>111</v>
      </c>
      <c r="B371" s="96"/>
      <c r="C371" s="28"/>
    </row>
    <row r="372" spans="1:3" ht="12.75">
      <c r="A372" s="9" t="s">
        <v>112</v>
      </c>
      <c r="B372" s="97"/>
      <c r="C372" s="30"/>
    </row>
    <row r="373" spans="3:4" ht="12.75">
      <c r="C373" s="20"/>
      <c r="D373" s="20"/>
    </row>
    <row r="374" spans="3:4" ht="12.75">
      <c r="C374" s="20"/>
      <c r="D374" s="20"/>
    </row>
    <row r="375" spans="1:4" ht="12.75">
      <c r="A375" s="64" t="s">
        <v>289</v>
      </c>
      <c r="C375" s="20"/>
      <c r="D375" s="20"/>
    </row>
    <row r="376" spans="1:8" ht="12.75">
      <c r="A376" s="103" t="s">
        <v>125</v>
      </c>
      <c r="B376" s="104" t="s">
        <v>113</v>
      </c>
      <c r="C376" s="105" t="s">
        <v>114</v>
      </c>
      <c r="D376" s="106" t="s">
        <v>115</v>
      </c>
      <c r="E376" s="111" t="s">
        <v>127</v>
      </c>
      <c r="F376" s="104" t="s">
        <v>122</v>
      </c>
      <c r="G376" s="612" t="s">
        <v>124</v>
      </c>
      <c r="H376" s="613"/>
    </row>
    <row r="377" spans="1:8" ht="13.5" thickBot="1">
      <c r="A377" s="107" t="s">
        <v>126</v>
      </c>
      <c r="B377" s="108" t="s">
        <v>116</v>
      </c>
      <c r="C377" s="109" t="s">
        <v>117</v>
      </c>
      <c r="D377" s="110" t="s">
        <v>118</v>
      </c>
      <c r="E377" s="109" t="s">
        <v>121</v>
      </c>
      <c r="F377" s="112" t="s">
        <v>123</v>
      </c>
      <c r="G377" s="113" t="s">
        <v>128</v>
      </c>
      <c r="H377" s="110" t="s">
        <v>129</v>
      </c>
    </row>
    <row r="378" spans="1:8" ht="13.5" thickTop="1">
      <c r="A378" s="28" t="s">
        <v>50</v>
      </c>
      <c r="B378" s="48"/>
      <c r="C378" s="49"/>
      <c r="D378" s="80"/>
      <c r="E378" s="28"/>
      <c r="F378" s="6"/>
      <c r="G378" s="28"/>
      <c r="H378" s="38"/>
    </row>
    <row r="379" spans="1:8" ht="12.75">
      <c r="A379" s="28" t="s">
        <v>119</v>
      </c>
      <c r="B379" s="48"/>
      <c r="C379" s="49"/>
      <c r="D379" s="80"/>
      <c r="E379" s="39"/>
      <c r="F379" s="6"/>
      <c r="G379" s="39"/>
      <c r="H379" s="80"/>
    </row>
    <row r="380" spans="1:8" ht="12.75">
      <c r="A380" s="30" t="s">
        <v>120</v>
      </c>
      <c r="B380" s="52"/>
      <c r="C380" s="53"/>
      <c r="D380" s="83"/>
      <c r="E380" s="30"/>
      <c r="F380" s="10"/>
      <c r="G380" s="30"/>
      <c r="H380" s="54"/>
    </row>
    <row r="384" ht="12.75">
      <c r="A384" s="1" t="s">
        <v>290</v>
      </c>
    </row>
    <row r="386" spans="1:6" ht="12.75">
      <c r="A386" s="12"/>
      <c r="B386" s="13" t="s">
        <v>8</v>
      </c>
      <c r="C386" s="14" t="s">
        <v>8</v>
      </c>
      <c r="D386" s="114" t="s">
        <v>130</v>
      </c>
      <c r="E386" s="13" t="s">
        <v>116</v>
      </c>
      <c r="F386" s="14" t="s">
        <v>116</v>
      </c>
    </row>
    <row r="387" spans="1:6" ht="13.5" thickBot="1">
      <c r="A387" s="15" t="s">
        <v>9</v>
      </c>
      <c r="B387" s="16" t="s">
        <v>10</v>
      </c>
      <c r="C387" s="17" t="s">
        <v>11</v>
      </c>
      <c r="D387" s="115" t="s">
        <v>131</v>
      </c>
      <c r="E387" s="16" t="s">
        <v>132</v>
      </c>
      <c r="F387" s="17" t="s">
        <v>133</v>
      </c>
    </row>
    <row r="388" spans="1:6" ht="13.5" thickTop="1">
      <c r="A388" s="5">
        <v>1</v>
      </c>
      <c r="B388" s="477"/>
      <c r="C388" s="478"/>
      <c r="D388" s="479"/>
      <c r="E388" s="96"/>
      <c r="F388" s="473"/>
    </row>
    <row r="389" spans="1:6" ht="12.75">
      <c r="A389" s="5">
        <v>2</v>
      </c>
      <c r="B389" s="477"/>
      <c r="C389" s="478"/>
      <c r="D389" s="479"/>
      <c r="E389" s="96"/>
      <c r="F389" s="473"/>
    </row>
    <row r="390" spans="1:6" ht="12.75">
      <c r="A390" s="5">
        <v>3</v>
      </c>
      <c r="B390" s="477"/>
      <c r="C390" s="478"/>
      <c r="D390" s="479"/>
      <c r="E390" s="96"/>
      <c r="F390" s="473"/>
    </row>
    <row r="391" spans="1:6" ht="12.75">
      <c r="A391" s="5">
        <v>4</v>
      </c>
      <c r="B391" s="477"/>
      <c r="C391" s="478"/>
      <c r="D391" s="479"/>
      <c r="E391" s="96"/>
      <c r="F391" s="473"/>
    </row>
    <row r="392" spans="1:6" ht="12.75">
      <c r="A392" s="5">
        <v>5</v>
      </c>
      <c r="B392" s="477"/>
      <c r="C392" s="478"/>
      <c r="D392" s="479"/>
      <c r="E392" s="96"/>
      <c r="F392" s="473"/>
    </row>
    <row r="393" spans="1:6" ht="12.75">
      <c r="A393" s="5">
        <v>6</v>
      </c>
      <c r="B393" s="477"/>
      <c r="C393" s="478"/>
      <c r="D393" s="479"/>
      <c r="E393" s="96"/>
      <c r="F393" s="473"/>
    </row>
    <row r="394" spans="1:6" ht="12.75">
      <c r="A394" s="5">
        <v>7</v>
      </c>
      <c r="B394" s="477"/>
      <c r="C394" s="478"/>
      <c r="D394" s="479"/>
      <c r="E394" s="96"/>
      <c r="F394" s="473"/>
    </row>
    <row r="395" spans="1:6" ht="12.75">
      <c r="A395" s="5">
        <v>8</v>
      </c>
      <c r="B395" s="477"/>
      <c r="C395" s="478"/>
      <c r="D395" s="479"/>
      <c r="E395" s="96"/>
      <c r="F395" s="473"/>
    </row>
    <row r="396" spans="1:6" ht="12.75">
      <c r="A396" s="5">
        <v>9</v>
      </c>
      <c r="B396" s="477"/>
      <c r="C396" s="478"/>
      <c r="D396" s="479"/>
      <c r="E396" s="96"/>
      <c r="F396" s="473"/>
    </row>
    <row r="397" spans="1:6" ht="12.75">
      <c r="A397" s="5">
        <v>10</v>
      </c>
      <c r="B397" s="477"/>
      <c r="C397" s="478"/>
      <c r="D397" s="479"/>
      <c r="E397" s="96"/>
      <c r="F397" s="473"/>
    </row>
    <row r="398" spans="1:6" ht="12.75">
      <c r="A398" s="5">
        <v>11</v>
      </c>
      <c r="B398" s="477"/>
      <c r="C398" s="478"/>
      <c r="D398" s="479"/>
      <c r="E398" s="96"/>
      <c r="F398" s="473"/>
    </row>
    <row r="399" spans="1:6" ht="12.75">
      <c r="A399" s="5">
        <v>12</v>
      </c>
      <c r="B399" s="477"/>
      <c r="C399" s="478"/>
      <c r="D399" s="479"/>
      <c r="E399" s="96"/>
      <c r="F399" s="473"/>
    </row>
    <row r="400" spans="1:6" ht="12.75">
      <c r="A400" s="5">
        <v>13</v>
      </c>
      <c r="B400" s="477"/>
      <c r="C400" s="478"/>
      <c r="D400" s="479"/>
      <c r="E400" s="96"/>
      <c r="F400" s="473"/>
    </row>
    <row r="401" spans="1:6" ht="12.75">
      <c r="A401" s="5">
        <v>14</v>
      </c>
      <c r="B401" s="477"/>
      <c r="C401" s="478"/>
      <c r="D401" s="479"/>
      <c r="E401" s="96"/>
      <c r="F401" s="473"/>
    </row>
    <row r="402" spans="1:6" ht="12.75">
      <c r="A402" s="5">
        <v>15</v>
      </c>
      <c r="B402" s="477"/>
      <c r="C402" s="478"/>
      <c r="D402" s="479"/>
      <c r="E402" s="96"/>
      <c r="F402" s="473"/>
    </row>
    <row r="403" spans="1:6" ht="12.75">
      <c r="A403" s="5">
        <v>16</v>
      </c>
      <c r="B403" s="477"/>
      <c r="C403" s="478"/>
      <c r="D403" s="479"/>
      <c r="E403" s="96"/>
      <c r="F403" s="473"/>
    </row>
    <row r="404" spans="1:6" ht="12.75">
      <c r="A404" s="5">
        <v>17</v>
      </c>
      <c r="B404" s="477"/>
      <c r="C404" s="478"/>
      <c r="D404" s="479"/>
      <c r="E404" s="96"/>
      <c r="F404" s="473"/>
    </row>
    <row r="405" spans="1:6" ht="12.75">
      <c r="A405" s="5">
        <v>18</v>
      </c>
      <c r="B405" s="477"/>
      <c r="C405" s="478"/>
      <c r="D405" s="479"/>
      <c r="E405" s="96"/>
      <c r="F405" s="473"/>
    </row>
    <row r="406" spans="1:6" ht="12.75">
      <c r="A406" s="5">
        <v>19</v>
      </c>
      <c r="B406" s="477"/>
      <c r="C406" s="478"/>
      <c r="D406" s="479"/>
      <c r="E406" s="96"/>
      <c r="F406" s="473"/>
    </row>
    <row r="407" spans="1:6" ht="12.75">
      <c r="A407" s="5">
        <v>20</v>
      </c>
      <c r="B407" s="477"/>
      <c r="C407" s="478"/>
      <c r="D407" s="479"/>
      <c r="E407" s="96"/>
      <c r="F407" s="473"/>
    </row>
    <row r="408" spans="1:6" ht="12.75">
      <c r="A408" s="5">
        <v>21</v>
      </c>
      <c r="B408" s="477"/>
      <c r="C408" s="478"/>
      <c r="D408" s="479"/>
      <c r="E408" s="96"/>
      <c r="F408" s="473"/>
    </row>
    <row r="409" spans="1:6" ht="12.75">
      <c r="A409" s="5">
        <v>22</v>
      </c>
      <c r="B409" s="477"/>
      <c r="C409" s="478"/>
      <c r="D409" s="479"/>
      <c r="E409" s="96"/>
      <c r="F409" s="473"/>
    </row>
    <row r="410" spans="1:6" ht="12.75">
      <c r="A410" s="5">
        <v>23</v>
      </c>
      <c r="B410" s="477"/>
      <c r="C410" s="478"/>
      <c r="D410" s="479"/>
      <c r="E410" s="96"/>
      <c r="F410" s="473"/>
    </row>
    <row r="411" spans="1:6" ht="12.75">
      <c r="A411" s="5">
        <v>24</v>
      </c>
      <c r="B411" s="477"/>
      <c r="C411" s="478"/>
      <c r="D411" s="479"/>
      <c r="E411" s="96"/>
      <c r="F411" s="473"/>
    </row>
    <row r="412" spans="1:6" ht="12.75">
      <c r="A412" s="5">
        <v>25</v>
      </c>
      <c r="B412" s="477"/>
      <c r="C412" s="478"/>
      <c r="D412" s="479"/>
      <c r="E412" s="96"/>
      <c r="F412" s="473"/>
    </row>
    <row r="413" spans="1:6" ht="12.75">
      <c r="A413" s="5">
        <v>26</v>
      </c>
      <c r="B413" s="477"/>
      <c r="C413" s="478"/>
      <c r="D413" s="479"/>
      <c r="E413" s="96"/>
      <c r="F413" s="473"/>
    </row>
    <row r="414" spans="1:6" ht="12.75">
      <c r="A414" s="5">
        <v>27</v>
      </c>
      <c r="B414" s="477"/>
      <c r="C414" s="478"/>
      <c r="D414" s="479"/>
      <c r="E414" s="96"/>
      <c r="F414" s="473"/>
    </row>
    <row r="415" spans="1:6" ht="12.75">
      <c r="A415" s="5">
        <v>28</v>
      </c>
      <c r="B415" s="477"/>
      <c r="C415" s="478"/>
      <c r="D415" s="479"/>
      <c r="E415" s="96"/>
      <c r="F415" s="473"/>
    </row>
    <row r="416" spans="1:6" ht="12.75">
      <c r="A416" s="5">
        <v>29</v>
      </c>
      <c r="B416" s="477"/>
      <c r="C416" s="478"/>
      <c r="D416" s="479"/>
      <c r="E416" s="96"/>
      <c r="F416" s="473"/>
    </row>
    <row r="417" spans="1:6" ht="12.75">
      <c r="A417" s="5">
        <v>30</v>
      </c>
      <c r="B417" s="477"/>
      <c r="C417" s="478"/>
      <c r="D417" s="479"/>
      <c r="E417" s="96"/>
      <c r="F417" s="473"/>
    </row>
    <row r="418" spans="1:6" ht="12.75">
      <c r="A418" s="5">
        <v>31</v>
      </c>
      <c r="B418" s="477"/>
      <c r="C418" s="478"/>
      <c r="D418" s="479"/>
      <c r="E418" s="96"/>
      <c r="F418" s="473"/>
    </row>
    <row r="419" spans="1:6" ht="12.75">
      <c r="A419" s="5">
        <v>32</v>
      </c>
      <c r="B419" s="477"/>
      <c r="C419" s="478"/>
      <c r="D419" s="479"/>
      <c r="E419" s="96"/>
      <c r="F419" s="473"/>
    </row>
    <row r="420" spans="1:6" ht="12.75">
      <c r="A420" s="5">
        <v>33</v>
      </c>
      <c r="B420" s="477"/>
      <c r="C420" s="478"/>
      <c r="D420" s="479"/>
      <c r="E420" s="96"/>
      <c r="F420" s="473"/>
    </row>
    <row r="421" spans="1:6" ht="12.75">
      <c r="A421" s="5">
        <v>34</v>
      </c>
      <c r="B421" s="477"/>
      <c r="C421" s="478"/>
      <c r="D421" s="479"/>
      <c r="E421" s="96"/>
      <c r="F421" s="473"/>
    </row>
    <row r="422" spans="1:6" ht="12.75">
      <c r="A422" s="5">
        <v>35</v>
      </c>
      <c r="B422" s="477"/>
      <c r="C422" s="478"/>
      <c r="D422" s="479"/>
      <c r="E422" s="96"/>
      <c r="F422" s="473"/>
    </row>
    <row r="423" spans="1:6" ht="12.75">
      <c r="A423" s="5">
        <v>36</v>
      </c>
      <c r="B423" s="477"/>
      <c r="C423" s="478"/>
      <c r="D423" s="479"/>
      <c r="E423" s="96"/>
      <c r="F423" s="473"/>
    </row>
    <row r="424" spans="1:6" ht="12.75">
      <c r="A424" s="5">
        <v>37</v>
      </c>
      <c r="B424" s="477"/>
      <c r="C424" s="478"/>
      <c r="D424" s="479"/>
      <c r="E424" s="96"/>
      <c r="F424" s="473"/>
    </row>
    <row r="425" spans="1:6" ht="12.75">
      <c r="A425" s="5">
        <v>38</v>
      </c>
      <c r="B425" s="477"/>
      <c r="C425" s="478"/>
      <c r="D425" s="479"/>
      <c r="E425" s="96"/>
      <c r="F425" s="473"/>
    </row>
    <row r="426" spans="1:6" ht="12.75">
      <c r="A426" s="5">
        <v>39</v>
      </c>
      <c r="B426" s="477"/>
      <c r="C426" s="478"/>
      <c r="D426" s="479"/>
      <c r="E426" s="96"/>
      <c r="F426" s="473"/>
    </row>
    <row r="427" spans="1:6" ht="12.75">
      <c r="A427" s="5">
        <v>40</v>
      </c>
      <c r="B427" s="477"/>
      <c r="C427" s="478"/>
      <c r="D427" s="479"/>
      <c r="E427" s="96"/>
      <c r="F427" s="473"/>
    </row>
    <row r="428" spans="1:6" ht="12.75">
      <c r="A428" s="5">
        <v>41</v>
      </c>
      <c r="B428" s="477"/>
      <c r="C428" s="478"/>
      <c r="D428" s="479"/>
      <c r="E428" s="96"/>
      <c r="F428" s="473"/>
    </row>
    <row r="429" spans="1:6" ht="12.75">
      <c r="A429" s="5">
        <v>42</v>
      </c>
      <c r="B429" s="477"/>
      <c r="C429" s="478"/>
      <c r="D429" s="479"/>
      <c r="E429" s="96"/>
      <c r="F429" s="473"/>
    </row>
    <row r="430" spans="1:6" ht="12.75">
      <c r="A430" s="5">
        <v>43</v>
      </c>
      <c r="B430" s="477"/>
      <c r="C430" s="478"/>
      <c r="D430" s="479"/>
      <c r="E430" s="96"/>
      <c r="F430" s="473"/>
    </row>
    <row r="431" spans="1:6" ht="12.75">
      <c r="A431" s="5">
        <v>44</v>
      </c>
      <c r="B431" s="477"/>
      <c r="C431" s="478"/>
      <c r="D431" s="479"/>
      <c r="E431" s="96"/>
      <c r="F431" s="473"/>
    </row>
    <row r="432" spans="1:6" ht="12.75">
      <c r="A432" s="5">
        <v>45</v>
      </c>
      <c r="B432" s="477"/>
      <c r="C432" s="478"/>
      <c r="D432" s="479"/>
      <c r="E432" s="96"/>
      <c r="F432" s="473"/>
    </row>
    <row r="433" spans="1:6" ht="12.75">
      <c r="A433" s="5">
        <v>46</v>
      </c>
      <c r="B433" s="477"/>
      <c r="C433" s="478"/>
      <c r="D433" s="479"/>
      <c r="E433" s="96"/>
      <c r="F433" s="473"/>
    </row>
    <row r="434" spans="1:6" ht="12.75">
      <c r="A434" s="5">
        <v>47</v>
      </c>
      <c r="B434" s="477"/>
      <c r="C434" s="478"/>
      <c r="D434" s="479"/>
      <c r="E434" s="96"/>
      <c r="F434" s="473"/>
    </row>
    <row r="435" spans="1:6" ht="12.75">
      <c r="A435" s="5">
        <v>48</v>
      </c>
      <c r="B435" s="477"/>
      <c r="C435" s="478"/>
      <c r="D435" s="479"/>
      <c r="E435" s="96"/>
      <c r="F435" s="473"/>
    </row>
    <row r="436" spans="1:6" ht="12.75">
      <c r="A436" s="5">
        <v>49</v>
      </c>
      <c r="B436" s="477"/>
      <c r="C436" s="478"/>
      <c r="D436" s="479"/>
      <c r="E436" s="96"/>
      <c r="F436" s="473"/>
    </row>
    <row r="437" spans="1:6" ht="12.75">
      <c r="A437" s="5">
        <v>50</v>
      </c>
      <c r="B437" s="477"/>
      <c r="C437" s="478"/>
      <c r="D437" s="479"/>
      <c r="E437" s="96"/>
      <c r="F437" s="473"/>
    </row>
    <row r="438" spans="1:6" ht="12.75">
      <c r="A438" s="5">
        <v>51</v>
      </c>
      <c r="B438" s="477"/>
      <c r="C438" s="478"/>
      <c r="D438" s="479"/>
      <c r="E438" s="96"/>
      <c r="F438" s="473"/>
    </row>
    <row r="439" spans="1:6" ht="12.75">
      <c r="A439" s="5">
        <v>52</v>
      </c>
      <c r="B439" s="477"/>
      <c r="C439" s="478"/>
      <c r="D439" s="479"/>
      <c r="E439" s="96"/>
      <c r="F439" s="473"/>
    </row>
    <row r="440" spans="1:6" ht="12.75">
      <c r="A440" s="5">
        <v>53</v>
      </c>
      <c r="B440" s="477"/>
      <c r="C440" s="478"/>
      <c r="D440" s="479"/>
      <c r="E440" s="96"/>
      <c r="F440" s="473"/>
    </row>
    <row r="441" spans="1:6" ht="12.75">
      <c r="A441" s="5">
        <v>54</v>
      </c>
      <c r="B441" s="477"/>
      <c r="C441" s="478"/>
      <c r="D441" s="479"/>
      <c r="E441" s="96"/>
      <c r="F441" s="473"/>
    </row>
    <row r="442" spans="1:6" ht="12.75">
      <c r="A442" s="5">
        <v>55</v>
      </c>
      <c r="B442" s="477"/>
      <c r="C442" s="478"/>
      <c r="D442" s="479"/>
      <c r="E442" s="96"/>
      <c r="F442" s="473"/>
    </row>
    <row r="443" spans="1:6" ht="12.75">
      <c r="A443" s="5">
        <v>56</v>
      </c>
      <c r="B443" s="477"/>
      <c r="C443" s="478"/>
      <c r="D443" s="479"/>
      <c r="E443" s="96"/>
      <c r="F443" s="473"/>
    </row>
    <row r="444" spans="1:6" ht="12.75">
      <c r="A444" s="5">
        <v>57</v>
      </c>
      <c r="B444" s="477"/>
      <c r="C444" s="478"/>
      <c r="D444" s="479"/>
      <c r="E444" s="96"/>
      <c r="F444" s="473"/>
    </row>
    <row r="445" spans="1:6" ht="12.75">
      <c r="A445" s="5">
        <v>58</v>
      </c>
      <c r="B445" s="477"/>
      <c r="C445" s="478"/>
      <c r="D445" s="479"/>
      <c r="E445" s="96"/>
      <c r="F445" s="473"/>
    </row>
    <row r="446" spans="1:6" ht="12.75">
      <c r="A446" s="5">
        <v>59</v>
      </c>
      <c r="B446" s="477"/>
      <c r="C446" s="478"/>
      <c r="D446" s="479"/>
      <c r="E446" s="96"/>
      <c r="F446" s="473"/>
    </row>
    <row r="447" spans="1:6" ht="12.75">
      <c r="A447" s="5">
        <v>60</v>
      </c>
      <c r="B447" s="477"/>
      <c r="C447" s="478"/>
      <c r="D447" s="479"/>
      <c r="E447" s="96"/>
      <c r="F447" s="473"/>
    </row>
    <row r="448" spans="1:6" ht="12.75">
      <c r="A448" s="5">
        <v>61</v>
      </c>
      <c r="B448" s="477"/>
      <c r="C448" s="478"/>
      <c r="D448" s="479"/>
      <c r="E448" s="96"/>
      <c r="F448" s="473"/>
    </row>
    <row r="449" spans="1:6" ht="12.75">
      <c r="A449" s="5">
        <v>62</v>
      </c>
      <c r="B449" s="477"/>
      <c r="C449" s="478"/>
      <c r="D449" s="479"/>
      <c r="E449" s="96"/>
      <c r="F449" s="473"/>
    </row>
    <row r="450" spans="1:6" ht="12.75">
      <c r="A450" s="5">
        <v>63</v>
      </c>
      <c r="B450" s="477"/>
      <c r="C450" s="478"/>
      <c r="D450" s="479"/>
      <c r="E450" s="96"/>
      <c r="F450" s="473"/>
    </row>
    <row r="451" spans="1:6" ht="12.75">
      <c r="A451" s="5">
        <v>64</v>
      </c>
      <c r="B451" s="477"/>
      <c r="C451" s="478"/>
      <c r="D451" s="479"/>
      <c r="E451" s="96"/>
      <c r="F451" s="473"/>
    </row>
    <row r="452" spans="1:6" ht="12.75">
      <c r="A452" s="5">
        <v>65</v>
      </c>
      <c r="B452" s="477"/>
      <c r="C452" s="478"/>
      <c r="D452" s="479"/>
      <c r="E452" s="96"/>
      <c r="F452" s="473"/>
    </row>
    <row r="453" spans="1:6" ht="12.75">
      <c r="A453" s="5">
        <v>66</v>
      </c>
      <c r="B453" s="477"/>
      <c r="C453" s="478"/>
      <c r="D453" s="479"/>
      <c r="E453" s="96"/>
      <c r="F453" s="473"/>
    </row>
    <row r="454" spans="1:6" ht="12.75">
      <c r="A454" s="5">
        <v>67</v>
      </c>
      <c r="B454" s="477"/>
      <c r="C454" s="478"/>
      <c r="D454" s="479"/>
      <c r="E454" s="96"/>
      <c r="F454" s="473"/>
    </row>
    <row r="455" spans="1:6" ht="12.75">
      <c r="A455" s="5">
        <v>68</v>
      </c>
      <c r="B455" s="477"/>
      <c r="C455" s="478"/>
      <c r="D455" s="479"/>
      <c r="E455" s="96"/>
      <c r="F455" s="473"/>
    </row>
    <row r="456" spans="1:6" ht="12.75">
      <c r="A456" s="5">
        <v>69</v>
      </c>
      <c r="B456" s="477"/>
      <c r="C456" s="478"/>
      <c r="D456" s="479"/>
      <c r="E456" s="96"/>
      <c r="F456" s="473"/>
    </row>
    <row r="457" spans="1:6" ht="12.75">
      <c r="A457" s="5">
        <v>70</v>
      </c>
      <c r="B457" s="477"/>
      <c r="C457" s="478"/>
      <c r="D457" s="479"/>
      <c r="E457" s="96"/>
      <c r="F457" s="473"/>
    </row>
    <row r="458" spans="1:6" ht="12.75">
      <c r="A458" s="5">
        <v>71</v>
      </c>
      <c r="B458" s="477"/>
      <c r="C458" s="478"/>
      <c r="D458" s="479"/>
      <c r="E458" s="96"/>
      <c r="F458" s="473"/>
    </row>
    <row r="459" spans="1:6" ht="12.75">
      <c r="A459" s="5">
        <v>72</v>
      </c>
      <c r="B459" s="477"/>
      <c r="C459" s="478"/>
      <c r="D459" s="479"/>
      <c r="E459" s="96"/>
      <c r="F459" s="473"/>
    </row>
    <row r="460" spans="1:6" ht="12.75">
      <c r="A460" s="5">
        <v>73</v>
      </c>
      <c r="B460" s="477"/>
      <c r="C460" s="478"/>
      <c r="D460" s="479"/>
      <c r="E460" s="96"/>
      <c r="F460" s="473"/>
    </row>
    <row r="461" spans="1:6" ht="12.75">
      <c r="A461" s="5">
        <v>74</v>
      </c>
      <c r="B461" s="477"/>
      <c r="C461" s="478"/>
      <c r="D461" s="479"/>
      <c r="E461" s="96"/>
      <c r="F461" s="473"/>
    </row>
    <row r="462" spans="1:6" ht="12.75">
      <c r="A462" s="5">
        <v>75</v>
      </c>
      <c r="B462" s="477"/>
      <c r="C462" s="478"/>
      <c r="D462" s="479"/>
      <c r="E462" s="96"/>
      <c r="F462" s="473"/>
    </row>
    <row r="463" spans="1:6" ht="12.75">
      <c r="A463" s="5">
        <v>76</v>
      </c>
      <c r="B463" s="477"/>
      <c r="C463" s="478"/>
      <c r="D463" s="479"/>
      <c r="E463" s="96"/>
      <c r="F463" s="473"/>
    </row>
    <row r="464" spans="1:6" ht="12.75">
      <c r="A464" s="5">
        <v>77</v>
      </c>
      <c r="B464" s="477"/>
      <c r="C464" s="478"/>
      <c r="D464" s="479"/>
      <c r="E464" s="96"/>
      <c r="F464" s="473"/>
    </row>
    <row r="465" spans="1:6" ht="12.75">
      <c r="A465" s="5">
        <v>78</v>
      </c>
      <c r="B465" s="477"/>
      <c r="C465" s="478"/>
      <c r="D465" s="479"/>
      <c r="E465" s="96"/>
      <c r="F465" s="473"/>
    </row>
    <row r="466" spans="1:6" ht="12.75">
      <c r="A466" s="5">
        <v>79</v>
      </c>
      <c r="B466" s="477"/>
      <c r="C466" s="478"/>
      <c r="D466" s="479"/>
      <c r="E466" s="96"/>
      <c r="F466" s="473"/>
    </row>
    <row r="467" spans="1:6" ht="12.75">
      <c r="A467" s="5">
        <v>80</v>
      </c>
      <c r="B467" s="477"/>
      <c r="C467" s="478"/>
      <c r="D467" s="479"/>
      <c r="E467" s="96"/>
      <c r="F467" s="473"/>
    </row>
    <row r="468" spans="1:6" ht="12.75">
      <c r="A468" s="5">
        <v>81</v>
      </c>
      <c r="B468" s="477"/>
      <c r="C468" s="478"/>
      <c r="D468" s="479"/>
      <c r="E468" s="96"/>
      <c r="F468" s="473"/>
    </row>
    <row r="469" spans="1:6" ht="12.75">
      <c r="A469" s="5">
        <v>82</v>
      </c>
      <c r="B469" s="477"/>
      <c r="C469" s="478"/>
      <c r="D469" s="479"/>
      <c r="E469" s="96"/>
      <c r="F469" s="473"/>
    </row>
    <row r="470" spans="1:6" ht="12.75">
      <c r="A470" s="5">
        <v>83</v>
      </c>
      <c r="B470" s="477"/>
      <c r="C470" s="478"/>
      <c r="D470" s="479"/>
      <c r="E470" s="96"/>
      <c r="F470" s="473"/>
    </row>
    <row r="471" spans="1:6" ht="12.75">
      <c r="A471" s="5">
        <v>84</v>
      </c>
      <c r="B471" s="477"/>
      <c r="C471" s="478"/>
      <c r="D471" s="479"/>
      <c r="E471" s="96"/>
      <c r="F471" s="473"/>
    </row>
    <row r="472" spans="1:6" ht="12.75">
      <c r="A472" s="9">
        <v>85</v>
      </c>
      <c r="B472" s="480"/>
      <c r="C472" s="481"/>
      <c r="D472" s="482"/>
      <c r="E472" s="97"/>
      <c r="F472" s="476"/>
    </row>
    <row r="473" ht="12.75">
      <c r="C473" s="20"/>
    </row>
    <row r="475" ht="12.75">
      <c r="A475" s="64" t="s">
        <v>142</v>
      </c>
    </row>
    <row r="476" spans="1:4" ht="13.5" thickBot="1">
      <c r="A476" s="119"/>
      <c r="B476" s="120" t="s">
        <v>135</v>
      </c>
      <c r="C476" s="120" t="s">
        <v>136</v>
      </c>
      <c r="D476" s="121" t="s">
        <v>137</v>
      </c>
    </row>
    <row r="477" spans="1:4" ht="13.5" thickTop="1">
      <c r="A477" s="5" t="s">
        <v>134</v>
      </c>
      <c r="B477" s="118"/>
      <c r="C477" s="28"/>
      <c r="D477" s="38"/>
    </row>
    <row r="478" spans="1:4" ht="12.75">
      <c r="A478" s="5" t="s">
        <v>104</v>
      </c>
      <c r="B478" s="122"/>
      <c r="C478" s="86"/>
      <c r="D478" s="99"/>
    </row>
    <row r="479" spans="1:4" ht="12.75">
      <c r="A479" s="5" t="s">
        <v>138</v>
      </c>
      <c r="B479" s="8"/>
      <c r="C479" s="123"/>
      <c r="D479" s="38"/>
    </row>
    <row r="480" spans="1:4" ht="12.75">
      <c r="A480" s="5" t="s">
        <v>139</v>
      </c>
      <c r="B480" s="95"/>
      <c r="C480" s="124"/>
      <c r="D480" s="125"/>
    </row>
    <row r="481" spans="1:4" ht="12.75">
      <c r="A481" s="5" t="s">
        <v>140</v>
      </c>
      <c r="B481" s="85"/>
      <c r="C481" s="95"/>
      <c r="D481" s="128"/>
    </row>
    <row r="482" spans="1:4" ht="12.75">
      <c r="A482" s="5" t="s">
        <v>141</v>
      </c>
      <c r="B482" s="124"/>
      <c r="C482" s="126"/>
      <c r="D482" s="127"/>
    </row>
    <row r="483" spans="1:5" ht="12.75">
      <c r="A483" s="5" t="s">
        <v>5</v>
      </c>
      <c r="B483" s="93"/>
      <c r="C483" s="28"/>
      <c r="D483" s="38"/>
      <c r="E483" s="99"/>
    </row>
    <row r="484" spans="1:5" ht="12.75">
      <c r="A484" s="9" t="s">
        <v>83</v>
      </c>
      <c r="B484" s="129"/>
      <c r="C484" s="30"/>
      <c r="D484" s="54"/>
      <c r="E484" s="99"/>
    </row>
    <row r="488" ht="12.75">
      <c r="A488" s="64" t="s">
        <v>291</v>
      </c>
    </row>
    <row r="489" ht="12.75">
      <c r="A489" t="s">
        <v>292</v>
      </c>
    </row>
    <row r="490" spans="1:8" ht="12.75">
      <c r="A490" s="148" t="s">
        <v>143</v>
      </c>
      <c r="B490" s="111" t="s">
        <v>114</v>
      </c>
      <c r="C490" s="149" t="s">
        <v>144</v>
      </c>
      <c r="D490" s="105" t="s">
        <v>116</v>
      </c>
      <c r="E490" s="104" t="s">
        <v>145</v>
      </c>
      <c r="F490" s="111" t="s">
        <v>146</v>
      </c>
      <c r="G490" s="612" t="s">
        <v>147</v>
      </c>
      <c r="H490" s="613"/>
    </row>
    <row r="491" spans="1:8" ht="13.5" thickBot="1">
      <c r="A491" s="150" t="s">
        <v>148</v>
      </c>
      <c r="B491" s="109" t="s">
        <v>117</v>
      </c>
      <c r="C491" s="108" t="s">
        <v>116</v>
      </c>
      <c r="D491" s="151" t="s">
        <v>149</v>
      </c>
      <c r="E491" s="112" t="s">
        <v>150</v>
      </c>
      <c r="F491" s="109" t="s">
        <v>151</v>
      </c>
      <c r="G491" s="112" t="s">
        <v>152</v>
      </c>
      <c r="H491" s="113" t="s">
        <v>153</v>
      </c>
    </row>
    <row r="492" spans="1:8" ht="13.5" thickTop="1">
      <c r="A492" s="130" t="s">
        <v>154</v>
      </c>
      <c r="B492" s="144"/>
      <c r="C492" s="131"/>
      <c r="D492" s="132"/>
      <c r="E492" s="131"/>
      <c r="F492" s="147"/>
      <c r="G492" s="131"/>
      <c r="H492" s="132"/>
    </row>
    <row r="493" spans="1:8" ht="12.75">
      <c r="A493" s="130" t="s">
        <v>155</v>
      </c>
      <c r="B493" s="144"/>
      <c r="C493" s="131"/>
      <c r="D493" s="132"/>
      <c r="E493" s="133"/>
      <c r="F493" s="134"/>
      <c r="G493" s="133"/>
      <c r="H493" s="134"/>
    </row>
    <row r="494" spans="1:8" ht="12.75">
      <c r="A494" s="135" t="s">
        <v>50</v>
      </c>
      <c r="B494" s="145"/>
      <c r="C494" s="136"/>
      <c r="D494" s="137"/>
      <c r="E494" s="138"/>
      <c r="F494" s="139"/>
      <c r="G494" s="138"/>
      <c r="H494" s="139"/>
    </row>
    <row r="495" spans="1:8" ht="12.75">
      <c r="A495" s="140" t="s">
        <v>156</v>
      </c>
      <c r="B495" s="146"/>
      <c r="C495" s="141"/>
      <c r="D495" s="141"/>
      <c r="E495" s="21"/>
      <c r="F495" s="21"/>
      <c r="G495" s="21"/>
      <c r="H495" s="21"/>
    </row>
    <row r="496" spans="1:8" ht="12.75">
      <c r="A496" s="140" t="s">
        <v>157</v>
      </c>
      <c r="B496" s="152"/>
      <c r="C496" s="141"/>
      <c r="D496" s="141"/>
      <c r="E496" s="21"/>
      <c r="F496" s="21"/>
      <c r="G496" s="21"/>
      <c r="H496" s="21"/>
    </row>
    <row r="497" spans="1:8" ht="12.75">
      <c r="A497" s="140" t="s">
        <v>158</v>
      </c>
      <c r="B497" s="142"/>
      <c r="C497" s="21"/>
      <c r="D497" s="21"/>
      <c r="E497" s="21"/>
      <c r="F497" s="21"/>
      <c r="G497" s="21"/>
      <c r="H497" s="21"/>
    </row>
    <row r="498" spans="1:8" ht="12.75">
      <c r="A498" s="143" t="s">
        <v>159</v>
      </c>
      <c r="B498" s="153"/>
      <c r="C498" s="141"/>
      <c r="D498" s="141"/>
      <c r="E498" s="21"/>
      <c r="F498" s="21"/>
      <c r="G498" s="21"/>
      <c r="H498" s="21"/>
    </row>
    <row r="501" spans="1:2" ht="13.5" thickBot="1">
      <c r="A501" s="154" t="s">
        <v>168</v>
      </c>
      <c r="B501" s="155"/>
    </row>
    <row r="502" spans="1:2" ht="12.75">
      <c r="A502" s="5" t="s">
        <v>160</v>
      </c>
      <c r="B502" s="156"/>
    </row>
    <row r="503" spans="1:2" ht="12.75">
      <c r="A503" s="5" t="s">
        <v>161</v>
      </c>
      <c r="B503" s="158"/>
    </row>
    <row r="504" spans="1:2" ht="12.75">
      <c r="A504" s="5" t="s">
        <v>162</v>
      </c>
      <c r="B504" s="93"/>
    </row>
    <row r="505" spans="1:2" ht="12.75">
      <c r="A505" s="5" t="s">
        <v>163</v>
      </c>
      <c r="B505" s="161"/>
    </row>
    <row r="506" spans="1:2" ht="12.75">
      <c r="A506" s="5" t="s">
        <v>164</v>
      </c>
      <c r="B506" s="93"/>
    </row>
    <row r="507" spans="1:2" ht="12.75">
      <c r="A507" s="5" t="s">
        <v>165</v>
      </c>
      <c r="B507" s="157"/>
    </row>
    <row r="508" spans="1:2" ht="12.75">
      <c r="A508" s="5" t="s">
        <v>166</v>
      </c>
      <c r="B508" s="93"/>
    </row>
    <row r="509" spans="1:2" ht="12.75">
      <c r="A509" s="9" t="s">
        <v>167</v>
      </c>
      <c r="B509" s="84"/>
    </row>
    <row r="512" spans="1:2" ht="13.5" thickBot="1">
      <c r="A512" s="154" t="s">
        <v>172</v>
      </c>
      <c r="B512" s="159"/>
    </row>
    <row r="513" spans="1:2" ht="12.75">
      <c r="A513" s="160" t="s">
        <v>169</v>
      </c>
      <c r="B513" s="156"/>
    </row>
    <row r="514" spans="1:2" ht="12.75">
      <c r="A514" s="160" t="s">
        <v>170</v>
      </c>
      <c r="B514" s="156"/>
    </row>
    <row r="515" spans="1:2" ht="12.75">
      <c r="A515" s="5" t="s">
        <v>162</v>
      </c>
      <c r="B515" s="163"/>
    </row>
    <row r="516" spans="1:2" ht="12.75">
      <c r="A516" s="5" t="s">
        <v>175</v>
      </c>
      <c r="B516" s="164"/>
    </row>
    <row r="517" spans="1:2" ht="12.75">
      <c r="A517" s="5" t="s">
        <v>171</v>
      </c>
      <c r="B517" s="152"/>
    </row>
    <row r="518" spans="1:2" ht="12.75">
      <c r="A518" s="9" t="s">
        <v>173</v>
      </c>
      <c r="B518" s="165"/>
    </row>
    <row r="521" spans="1:2" ht="13.5" thickBot="1">
      <c r="A521" s="162" t="s">
        <v>293</v>
      </c>
      <c r="B521" s="159"/>
    </row>
    <row r="522" spans="1:2" ht="12.75">
      <c r="A522" s="28" t="s">
        <v>160</v>
      </c>
      <c r="B522" s="156"/>
    </row>
    <row r="523" spans="1:2" ht="12.75">
      <c r="A523" s="28" t="s">
        <v>161</v>
      </c>
      <c r="B523" s="166"/>
    </row>
    <row r="524" spans="1:2" ht="12.75">
      <c r="A524" s="28" t="s">
        <v>107</v>
      </c>
      <c r="B524" s="93"/>
    </row>
    <row r="525" spans="1:2" ht="12.75">
      <c r="A525" s="28" t="s">
        <v>174</v>
      </c>
      <c r="B525" s="156"/>
    </row>
    <row r="526" spans="1:2" ht="12.75">
      <c r="A526" s="28" t="s">
        <v>164</v>
      </c>
      <c r="B526" s="93"/>
    </row>
    <row r="527" spans="1:2" ht="12.75">
      <c r="A527" s="30" t="s">
        <v>167</v>
      </c>
      <c r="B527" s="84"/>
    </row>
    <row r="529" ht="12.75">
      <c r="C529" s="99"/>
    </row>
    <row r="530" spans="1:2" ht="13.5" thickBot="1">
      <c r="A530" s="154" t="s">
        <v>294</v>
      </c>
      <c r="B530" s="155"/>
    </row>
    <row r="531" spans="1:2" ht="12.75">
      <c r="A531" s="160" t="s">
        <v>169</v>
      </c>
      <c r="B531" s="156"/>
    </row>
    <row r="532" spans="1:2" ht="12.75">
      <c r="A532" s="160" t="s">
        <v>170</v>
      </c>
      <c r="B532" s="156"/>
    </row>
    <row r="533" spans="1:2" ht="12.75">
      <c r="A533" s="5" t="s">
        <v>107</v>
      </c>
      <c r="B533" s="93"/>
    </row>
    <row r="534" spans="1:2" ht="12.75">
      <c r="A534" s="130" t="s">
        <v>175</v>
      </c>
      <c r="B534" s="167"/>
    </row>
    <row r="535" spans="1:2" ht="12.75">
      <c r="A535" s="5" t="s">
        <v>176</v>
      </c>
      <c r="B535" s="85"/>
    </row>
    <row r="536" spans="1:2" ht="12.75">
      <c r="A536" s="9" t="s">
        <v>177</v>
      </c>
      <c r="B536" s="84"/>
    </row>
    <row r="539" ht="12.75">
      <c r="A539" s="1" t="s">
        <v>189</v>
      </c>
    </row>
    <row r="540" ht="12.75">
      <c r="A540" s="64" t="s">
        <v>295</v>
      </c>
    </row>
    <row r="541" spans="1:2" ht="12.75">
      <c r="A541" s="168" t="s">
        <v>178</v>
      </c>
      <c r="B541" s="169"/>
    </row>
    <row r="542" spans="1:2" ht="12.75">
      <c r="A542" s="5" t="s">
        <v>179</v>
      </c>
      <c r="B542" s="170"/>
    </row>
    <row r="543" spans="1:2" ht="12.75">
      <c r="A543" s="5" t="s">
        <v>180</v>
      </c>
      <c r="B543" s="170"/>
    </row>
    <row r="544" spans="1:2" ht="12.75">
      <c r="A544" s="5" t="s">
        <v>181</v>
      </c>
      <c r="B544" s="170"/>
    </row>
    <row r="545" spans="1:2" ht="12.75">
      <c r="A545" s="5" t="s">
        <v>182</v>
      </c>
      <c r="B545" s="171"/>
    </row>
    <row r="546" spans="1:2" ht="12.75">
      <c r="A546" s="5" t="s">
        <v>183</v>
      </c>
      <c r="B546" s="146"/>
    </row>
    <row r="547" spans="1:2" ht="12.75">
      <c r="A547" s="5" t="s">
        <v>184</v>
      </c>
      <c r="B547" s="146"/>
    </row>
    <row r="548" spans="1:2" ht="12.75">
      <c r="A548" s="5" t="s">
        <v>185</v>
      </c>
      <c r="B548" s="172"/>
    </row>
    <row r="549" spans="1:2" ht="12.75">
      <c r="A549" s="5" t="s">
        <v>186</v>
      </c>
      <c r="B549" s="146"/>
    </row>
    <row r="550" spans="1:4" ht="12.75">
      <c r="A550" s="5" t="s">
        <v>164</v>
      </c>
      <c r="B550" s="146"/>
      <c r="D550" s="99"/>
    </row>
    <row r="551" spans="1:2" ht="12.75">
      <c r="A551" s="57" t="s">
        <v>187</v>
      </c>
      <c r="B551" s="146"/>
    </row>
    <row r="552" spans="1:4" ht="12.75">
      <c r="A552" s="59" t="s">
        <v>188</v>
      </c>
      <c r="B552" s="173"/>
      <c r="C552" s="99"/>
      <c r="D552" s="20"/>
    </row>
    <row r="555" ht="12.75">
      <c r="A555" s="174" t="s">
        <v>296</v>
      </c>
    </row>
    <row r="556" spans="1:7" s="182" customFormat="1" ht="13.5" thickBot="1">
      <c r="A556" s="180" t="s">
        <v>9</v>
      </c>
      <c r="B556" s="179" t="s">
        <v>190</v>
      </c>
      <c r="C556" s="178" t="s">
        <v>191</v>
      </c>
      <c r="D556" s="179" t="s">
        <v>192</v>
      </c>
      <c r="E556" s="178" t="s">
        <v>193</v>
      </c>
      <c r="F556" s="179" t="s">
        <v>194</v>
      </c>
      <c r="G556" s="181" t="s">
        <v>195</v>
      </c>
    </row>
    <row r="557" spans="1:7" ht="13.5" thickTop="1">
      <c r="A557" s="5">
        <v>1</v>
      </c>
      <c r="B557" s="70"/>
      <c r="C557" s="281"/>
      <c r="D557" s="280"/>
      <c r="E557" s="283"/>
      <c r="F557" s="280"/>
      <c r="G557" s="282"/>
    </row>
    <row r="558" spans="1:7" ht="12.75">
      <c r="A558" s="5">
        <v>2</v>
      </c>
      <c r="B558" s="70"/>
      <c r="C558" s="281"/>
      <c r="D558" s="280"/>
      <c r="E558" s="283"/>
      <c r="F558" s="280"/>
      <c r="G558" s="282"/>
    </row>
    <row r="559" spans="1:7" ht="12.75">
      <c r="A559" s="5">
        <v>3</v>
      </c>
      <c r="B559" s="70"/>
      <c r="C559" s="281"/>
      <c r="D559" s="280"/>
      <c r="E559" s="283"/>
      <c r="F559" s="280"/>
      <c r="G559" s="282"/>
    </row>
    <row r="560" spans="1:7" ht="12.75">
      <c r="A560" s="5">
        <v>4</v>
      </c>
      <c r="B560" s="70"/>
      <c r="C560" s="281"/>
      <c r="D560" s="280"/>
      <c r="E560" s="283"/>
      <c r="F560" s="280"/>
      <c r="G560" s="282"/>
    </row>
    <row r="561" spans="1:7" ht="12.75">
      <c r="A561" s="5">
        <v>5</v>
      </c>
      <c r="B561" s="70"/>
      <c r="C561" s="281"/>
      <c r="D561" s="280"/>
      <c r="E561" s="283"/>
      <c r="F561" s="280"/>
      <c r="G561" s="282"/>
    </row>
    <row r="562" spans="1:7" ht="12.75">
      <c r="A562" s="5">
        <v>6</v>
      </c>
      <c r="B562" s="70"/>
      <c r="C562" s="281"/>
      <c r="D562" s="280"/>
      <c r="E562" s="283"/>
      <c r="F562" s="280"/>
      <c r="G562" s="282"/>
    </row>
    <row r="563" spans="1:7" ht="12.75">
      <c r="A563" s="5">
        <v>7</v>
      </c>
      <c r="B563" s="70"/>
      <c r="C563" s="281"/>
      <c r="D563" s="280"/>
      <c r="E563" s="283"/>
      <c r="F563" s="280"/>
      <c r="G563" s="282"/>
    </row>
    <row r="564" spans="1:7" ht="12.75">
      <c r="A564" s="5">
        <v>8</v>
      </c>
      <c r="B564" s="70"/>
      <c r="C564" s="281"/>
      <c r="D564" s="280"/>
      <c r="E564" s="283"/>
      <c r="F564" s="280"/>
      <c r="G564" s="282"/>
    </row>
    <row r="565" spans="1:7" ht="12.75">
      <c r="A565" s="5">
        <v>9</v>
      </c>
      <c r="B565" s="70"/>
      <c r="C565" s="281"/>
      <c r="D565" s="280"/>
      <c r="E565" s="283"/>
      <c r="F565" s="280"/>
      <c r="G565" s="282"/>
    </row>
    <row r="566" spans="1:7" ht="12.75">
      <c r="A566" s="5">
        <v>10</v>
      </c>
      <c r="B566" s="70"/>
      <c r="C566" s="281"/>
      <c r="D566" s="280"/>
      <c r="E566" s="283"/>
      <c r="F566" s="280"/>
      <c r="G566" s="282"/>
    </row>
    <row r="567" spans="1:7" ht="12.75">
      <c r="A567" s="5">
        <v>11</v>
      </c>
      <c r="B567" s="70"/>
      <c r="C567" s="281"/>
      <c r="D567" s="280"/>
      <c r="E567" s="283"/>
      <c r="F567" s="280"/>
      <c r="G567" s="282"/>
    </row>
    <row r="568" spans="1:7" ht="12.75">
      <c r="A568" s="9">
        <v>12</v>
      </c>
      <c r="B568" s="177"/>
      <c r="C568" s="281"/>
      <c r="D568" s="280"/>
      <c r="E568" s="283"/>
      <c r="F568" s="280"/>
      <c r="G568" s="282"/>
    </row>
    <row r="590" ht="12.75">
      <c r="B590" s="64" t="s">
        <v>297</v>
      </c>
    </row>
    <row r="592" ht="12.75">
      <c r="A592" s="1" t="s">
        <v>298</v>
      </c>
    </row>
    <row r="594" spans="1:5" ht="12.75">
      <c r="A594" s="31"/>
      <c r="B594" s="614" t="s">
        <v>10</v>
      </c>
      <c r="C594" s="615"/>
      <c r="D594" s="614" t="s">
        <v>11</v>
      </c>
      <c r="E594" s="615"/>
    </row>
    <row r="595" spans="1:5" ht="13.5" thickBot="1">
      <c r="A595" s="32" t="s">
        <v>9</v>
      </c>
      <c r="B595" s="33" t="s">
        <v>22</v>
      </c>
      <c r="C595" s="33" t="s">
        <v>23</v>
      </c>
      <c r="D595" s="34" t="s">
        <v>24</v>
      </c>
      <c r="E595" s="34" t="s">
        <v>25</v>
      </c>
    </row>
    <row r="596" spans="1:5" ht="13.5" thickTop="1">
      <c r="A596" s="5">
        <v>1</v>
      </c>
      <c r="B596" s="18"/>
      <c r="C596" s="19"/>
      <c r="D596" s="19"/>
      <c r="E596" s="19"/>
    </row>
    <row r="597" spans="1:5" ht="12.75">
      <c r="A597" s="5">
        <v>2</v>
      </c>
      <c r="B597" s="18"/>
      <c r="C597" s="19"/>
      <c r="D597" s="19"/>
      <c r="E597" s="19"/>
    </row>
    <row r="598" spans="1:5" ht="12.75">
      <c r="A598" s="5">
        <v>3</v>
      </c>
      <c r="B598" s="18"/>
      <c r="C598" s="19"/>
      <c r="D598" s="19"/>
      <c r="E598" s="19"/>
    </row>
    <row r="599" spans="1:5" ht="12.75">
      <c r="A599" s="5">
        <v>4</v>
      </c>
      <c r="B599" s="18"/>
      <c r="C599" s="19"/>
      <c r="D599" s="19"/>
      <c r="E599" s="19"/>
    </row>
    <row r="600" spans="1:5" ht="12.75">
      <c r="A600" s="5">
        <v>5</v>
      </c>
      <c r="B600" s="18"/>
      <c r="C600" s="19"/>
      <c r="D600" s="19"/>
      <c r="E600" s="19"/>
    </row>
    <row r="601" spans="1:5" ht="12.75">
      <c r="A601" s="5">
        <v>6</v>
      </c>
      <c r="B601" s="18"/>
      <c r="C601" s="19"/>
      <c r="D601" s="19"/>
      <c r="E601" s="19"/>
    </row>
    <row r="602" spans="1:5" ht="12.75">
      <c r="A602" s="5">
        <v>7</v>
      </c>
      <c r="B602" s="18"/>
      <c r="C602" s="19"/>
      <c r="D602" s="19"/>
      <c r="E602" s="19"/>
    </row>
    <row r="603" spans="1:5" ht="12.75">
      <c r="A603" s="5">
        <v>8</v>
      </c>
      <c r="B603" s="18"/>
      <c r="C603" s="19"/>
      <c r="D603" s="19"/>
      <c r="E603" s="19"/>
    </row>
    <row r="604" spans="1:5" ht="12.75">
      <c r="A604" s="5">
        <v>9</v>
      </c>
      <c r="B604" s="18"/>
      <c r="C604" s="19"/>
      <c r="D604" s="19"/>
      <c r="E604" s="19"/>
    </row>
    <row r="605" spans="1:5" ht="12.75">
      <c r="A605" s="5">
        <v>10</v>
      </c>
      <c r="B605" s="18"/>
      <c r="C605" s="19"/>
      <c r="D605" s="19"/>
      <c r="E605" s="19"/>
    </row>
    <row r="606" spans="1:5" ht="12.75">
      <c r="A606" s="5">
        <v>11</v>
      </c>
      <c r="B606" s="18"/>
      <c r="C606" s="19"/>
      <c r="D606" s="19"/>
      <c r="E606" s="19"/>
    </row>
    <row r="607" spans="1:5" ht="12.75">
      <c r="A607" s="5">
        <v>12</v>
      </c>
      <c r="B607" s="18"/>
      <c r="C607" s="19"/>
      <c r="D607" s="19"/>
      <c r="E607" s="19"/>
    </row>
    <row r="608" spans="1:5" ht="12.75">
      <c r="A608" s="5">
        <v>13</v>
      </c>
      <c r="B608" s="18"/>
      <c r="C608" s="19"/>
      <c r="D608" s="19"/>
      <c r="E608" s="19"/>
    </row>
    <row r="609" spans="1:5" ht="12.75">
      <c r="A609" s="5">
        <v>14</v>
      </c>
      <c r="B609" s="18"/>
      <c r="C609" s="19"/>
      <c r="D609" s="19"/>
      <c r="E609" s="19"/>
    </row>
    <row r="610" spans="1:5" ht="12.75">
      <c r="A610" s="5">
        <v>15</v>
      </c>
      <c r="B610" s="18"/>
      <c r="C610" s="19"/>
      <c r="D610" s="19"/>
      <c r="E610" s="19"/>
    </row>
    <row r="611" spans="1:5" ht="12.75">
      <c r="A611" s="5">
        <v>16</v>
      </c>
      <c r="B611" s="18"/>
      <c r="C611" s="19"/>
      <c r="D611" s="19"/>
      <c r="E611" s="19"/>
    </row>
    <row r="612" spans="1:5" ht="12.75">
      <c r="A612" s="5">
        <v>17</v>
      </c>
      <c r="B612" s="18"/>
      <c r="C612" s="19"/>
      <c r="D612" s="19"/>
      <c r="E612" s="19"/>
    </row>
    <row r="613" spans="1:5" ht="12.75">
      <c r="A613" s="5">
        <v>18</v>
      </c>
      <c r="B613" s="18"/>
      <c r="C613" s="19"/>
      <c r="D613" s="19"/>
      <c r="E613" s="19"/>
    </row>
    <row r="614" spans="1:5" ht="12.75">
      <c r="A614" s="5">
        <v>19</v>
      </c>
      <c r="B614" s="18"/>
      <c r="C614" s="19"/>
      <c r="D614" s="19"/>
      <c r="E614" s="19"/>
    </row>
    <row r="615" spans="1:5" ht="12.75">
      <c r="A615" s="5">
        <v>20</v>
      </c>
      <c r="B615" s="18"/>
      <c r="C615" s="19"/>
      <c r="D615" s="19"/>
      <c r="E615" s="19"/>
    </row>
    <row r="616" spans="1:5" ht="12.75">
      <c r="A616" s="5">
        <v>21</v>
      </c>
      <c r="B616" s="18"/>
      <c r="C616" s="19"/>
      <c r="D616" s="19"/>
      <c r="E616" s="19"/>
    </row>
    <row r="617" spans="1:5" ht="12.75">
      <c r="A617" s="5">
        <v>22</v>
      </c>
      <c r="B617" s="18"/>
      <c r="C617" s="19"/>
      <c r="D617" s="19"/>
      <c r="E617" s="19"/>
    </row>
    <row r="618" spans="1:5" ht="12.75">
      <c r="A618" s="5">
        <v>23</v>
      </c>
      <c r="B618" s="18"/>
      <c r="C618" s="19"/>
      <c r="D618" s="19"/>
      <c r="E618" s="19"/>
    </row>
    <row r="619" spans="1:5" ht="12.75">
      <c r="A619" s="5">
        <v>24</v>
      </c>
      <c r="B619" s="18"/>
      <c r="C619" s="19"/>
      <c r="D619" s="19"/>
      <c r="E619" s="19"/>
    </row>
    <row r="620" spans="1:5" ht="12.75">
      <c r="A620" s="5">
        <v>25</v>
      </c>
      <c r="B620" s="18"/>
      <c r="C620" s="19"/>
      <c r="D620" s="19"/>
      <c r="E620" s="19"/>
    </row>
    <row r="621" spans="1:5" ht="12.75">
      <c r="A621" s="5">
        <v>26</v>
      </c>
      <c r="B621" s="18"/>
      <c r="C621" s="19"/>
      <c r="D621" s="19"/>
      <c r="E621" s="19"/>
    </row>
    <row r="622" spans="1:5" ht="12.75">
      <c r="A622" s="5">
        <v>27</v>
      </c>
      <c r="B622" s="18"/>
      <c r="C622" s="19"/>
      <c r="D622" s="19"/>
      <c r="E622" s="19"/>
    </row>
    <row r="623" spans="1:5" ht="12.75">
      <c r="A623" s="5">
        <v>28</v>
      </c>
      <c r="B623" s="18"/>
      <c r="C623" s="19"/>
      <c r="D623" s="19"/>
      <c r="E623" s="19"/>
    </row>
    <row r="624" spans="1:5" ht="12.75">
      <c r="A624" s="5">
        <v>29</v>
      </c>
      <c r="B624" s="18"/>
      <c r="C624" s="19"/>
      <c r="D624" s="19"/>
      <c r="E624" s="19"/>
    </row>
    <row r="625" spans="1:5" ht="12.75">
      <c r="A625" s="5">
        <v>30</v>
      </c>
      <c r="B625" s="18"/>
      <c r="C625" s="19"/>
      <c r="D625" s="19"/>
      <c r="E625" s="19"/>
    </row>
    <row r="626" spans="1:5" ht="12.75">
      <c r="A626" s="5">
        <v>31</v>
      </c>
      <c r="B626" s="18"/>
      <c r="C626" s="19"/>
      <c r="D626" s="19"/>
      <c r="E626" s="19"/>
    </row>
    <row r="627" spans="1:5" ht="12.75">
      <c r="A627" s="5">
        <v>32</v>
      </c>
      <c r="B627" s="18"/>
      <c r="C627" s="19"/>
      <c r="D627" s="19"/>
      <c r="E627" s="19"/>
    </row>
    <row r="628" spans="1:5" ht="12.75">
      <c r="A628" s="5">
        <v>33</v>
      </c>
      <c r="B628" s="18"/>
      <c r="C628" s="19"/>
      <c r="D628" s="19"/>
      <c r="E628" s="19"/>
    </row>
    <row r="629" spans="1:5" ht="12.75">
      <c r="A629" s="5">
        <v>34</v>
      </c>
      <c r="B629" s="18"/>
      <c r="C629" s="19"/>
      <c r="D629" s="19"/>
      <c r="E629" s="19"/>
    </row>
    <row r="630" spans="1:5" ht="12.75">
      <c r="A630" s="5">
        <v>35</v>
      </c>
      <c r="B630" s="18"/>
      <c r="C630" s="19"/>
      <c r="D630" s="19"/>
      <c r="E630" s="19"/>
    </row>
    <row r="631" spans="1:5" ht="12.75">
      <c r="A631" s="5">
        <v>36</v>
      </c>
      <c r="B631" s="18"/>
      <c r="C631" s="19"/>
      <c r="D631" s="19"/>
      <c r="E631" s="19"/>
    </row>
    <row r="632" spans="1:5" ht="12.75">
      <c r="A632" s="5">
        <v>37</v>
      </c>
      <c r="B632" s="18"/>
      <c r="C632" s="19"/>
      <c r="D632" s="19"/>
      <c r="E632" s="19"/>
    </row>
    <row r="633" spans="1:5" ht="12.75">
      <c r="A633" s="5">
        <v>38</v>
      </c>
      <c r="B633" s="18"/>
      <c r="C633" s="19"/>
      <c r="D633" s="19"/>
      <c r="E633" s="19"/>
    </row>
    <row r="634" spans="1:5" ht="12.75">
      <c r="A634" s="5">
        <v>39</v>
      </c>
      <c r="B634" s="18"/>
      <c r="C634" s="19"/>
      <c r="D634" s="19"/>
      <c r="E634" s="19"/>
    </row>
    <row r="635" spans="1:5" ht="12.75">
      <c r="A635" s="5">
        <v>40</v>
      </c>
      <c r="B635" s="18"/>
      <c r="C635" s="19"/>
      <c r="D635" s="19"/>
      <c r="E635" s="19"/>
    </row>
    <row r="636" spans="1:5" ht="12.75">
      <c r="A636" s="5">
        <v>41</v>
      </c>
      <c r="B636" s="18"/>
      <c r="C636" s="19"/>
      <c r="D636" s="19"/>
      <c r="E636" s="19"/>
    </row>
    <row r="637" spans="1:5" ht="12.75">
      <c r="A637" s="5">
        <v>42</v>
      </c>
      <c r="B637" s="18"/>
      <c r="C637" s="19"/>
      <c r="D637" s="19"/>
      <c r="E637" s="19"/>
    </row>
    <row r="638" spans="1:5" ht="12.75">
      <c r="A638" s="5">
        <v>43</v>
      </c>
      <c r="B638" s="18"/>
      <c r="C638" s="19"/>
      <c r="D638" s="19"/>
      <c r="E638" s="19"/>
    </row>
    <row r="639" spans="1:5" ht="12.75">
      <c r="A639" s="5">
        <v>44</v>
      </c>
      <c r="B639" s="18"/>
      <c r="C639" s="19"/>
      <c r="D639" s="19"/>
      <c r="E639" s="19"/>
    </row>
    <row r="640" spans="1:5" ht="12.75">
      <c r="A640" s="5">
        <v>45</v>
      </c>
      <c r="B640" s="18"/>
      <c r="C640" s="19"/>
      <c r="D640" s="19"/>
      <c r="E640" s="19"/>
    </row>
    <row r="641" spans="1:5" ht="12.75">
      <c r="A641" s="5">
        <v>46</v>
      </c>
      <c r="B641" s="18"/>
      <c r="C641" s="19"/>
      <c r="D641" s="19"/>
      <c r="E641" s="19"/>
    </row>
    <row r="642" spans="1:5" ht="12.75">
      <c r="A642" s="5">
        <v>47</v>
      </c>
      <c r="B642" s="18"/>
      <c r="C642" s="19"/>
      <c r="D642" s="19"/>
      <c r="E642" s="19"/>
    </row>
    <row r="643" spans="1:5" ht="12.75">
      <c r="A643" s="5">
        <v>48</v>
      </c>
      <c r="B643" s="18"/>
      <c r="C643" s="19"/>
      <c r="D643" s="19"/>
      <c r="E643" s="19"/>
    </row>
    <row r="644" spans="1:5" ht="12.75">
      <c r="A644" s="5">
        <v>49</v>
      </c>
      <c r="B644" s="18"/>
      <c r="C644" s="19"/>
      <c r="D644" s="19"/>
      <c r="E644" s="19"/>
    </row>
    <row r="645" spans="1:5" ht="12.75">
      <c r="A645" s="5">
        <v>50</v>
      </c>
      <c r="B645" s="18"/>
      <c r="C645" s="19"/>
      <c r="D645" s="19"/>
      <c r="E645" s="19"/>
    </row>
    <row r="646" spans="1:5" ht="12.75">
      <c r="A646" s="5">
        <v>51</v>
      </c>
      <c r="B646" s="18"/>
      <c r="C646" s="19"/>
      <c r="D646" s="19"/>
      <c r="E646" s="19"/>
    </row>
    <row r="647" spans="1:5" ht="12.75">
      <c r="A647" s="5">
        <v>52</v>
      </c>
      <c r="B647" s="18"/>
      <c r="C647" s="19"/>
      <c r="D647" s="19"/>
      <c r="E647" s="19"/>
    </row>
    <row r="648" spans="1:5" ht="12.75">
      <c r="A648" s="5">
        <v>53</v>
      </c>
      <c r="B648" s="18"/>
      <c r="C648" s="19"/>
      <c r="D648" s="19"/>
      <c r="E648" s="19"/>
    </row>
    <row r="649" spans="1:5" ht="12.75">
      <c r="A649" s="5">
        <v>54</v>
      </c>
      <c r="B649" s="18"/>
      <c r="C649" s="19"/>
      <c r="D649" s="19"/>
      <c r="E649" s="19"/>
    </row>
    <row r="650" spans="1:5" ht="12.75">
      <c r="A650" s="5">
        <v>55</v>
      </c>
      <c r="B650" s="18"/>
      <c r="C650" s="19"/>
      <c r="D650" s="19"/>
      <c r="E650" s="19"/>
    </row>
    <row r="651" spans="1:5" ht="12.75">
      <c r="A651" s="5">
        <v>56</v>
      </c>
      <c r="B651" s="18"/>
      <c r="C651" s="19"/>
      <c r="D651" s="19"/>
      <c r="E651" s="19"/>
    </row>
    <row r="652" spans="1:5" ht="12.75">
      <c r="A652" s="5">
        <v>57</v>
      </c>
      <c r="B652" s="18"/>
      <c r="C652" s="19"/>
      <c r="D652" s="19"/>
      <c r="E652" s="19"/>
    </row>
    <row r="653" spans="1:5" ht="12.75">
      <c r="A653" s="5">
        <v>58</v>
      </c>
      <c r="B653" s="18"/>
      <c r="C653" s="19"/>
      <c r="D653" s="19"/>
      <c r="E653" s="19"/>
    </row>
    <row r="654" spans="1:5" ht="12.75">
      <c r="A654" s="5">
        <v>59</v>
      </c>
      <c r="B654" s="18"/>
      <c r="C654" s="19"/>
      <c r="D654" s="19"/>
      <c r="E654" s="19"/>
    </row>
    <row r="655" spans="1:5" ht="12.75">
      <c r="A655" s="5">
        <v>60</v>
      </c>
      <c r="B655" s="18"/>
      <c r="C655" s="19"/>
      <c r="D655" s="19"/>
      <c r="E655" s="19"/>
    </row>
    <row r="656" spans="1:5" ht="12.75">
      <c r="A656" s="5">
        <v>61</v>
      </c>
      <c r="B656" s="18"/>
      <c r="C656" s="19"/>
      <c r="D656" s="19"/>
      <c r="E656" s="19"/>
    </row>
    <row r="657" spans="1:5" ht="12.75">
      <c r="A657" s="5">
        <v>62</v>
      </c>
      <c r="B657" s="18"/>
      <c r="C657" s="19"/>
      <c r="D657" s="19"/>
      <c r="E657" s="19"/>
    </row>
    <row r="658" spans="1:5" ht="12.75">
      <c r="A658" s="5">
        <v>63</v>
      </c>
      <c r="B658" s="18"/>
      <c r="C658" s="19"/>
      <c r="D658" s="19"/>
      <c r="E658" s="19"/>
    </row>
    <row r="659" spans="1:5" ht="12.75">
      <c r="A659" s="5">
        <v>64</v>
      </c>
      <c r="B659" s="18"/>
      <c r="C659" s="19"/>
      <c r="D659" s="19"/>
      <c r="E659" s="19"/>
    </row>
    <row r="660" spans="1:5" ht="12.75">
      <c r="A660" s="5">
        <v>65</v>
      </c>
      <c r="B660" s="18"/>
      <c r="C660" s="19"/>
      <c r="D660" s="19"/>
      <c r="E660" s="19"/>
    </row>
    <row r="661" spans="1:5" ht="12.75">
      <c r="A661" s="5">
        <v>66</v>
      </c>
      <c r="B661" s="18"/>
      <c r="C661" s="19"/>
      <c r="D661" s="19"/>
      <c r="E661" s="19"/>
    </row>
    <row r="662" spans="1:5" ht="12.75">
      <c r="A662" s="5">
        <v>67</v>
      </c>
      <c r="B662" s="18"/>
      <c r="C662" s="19"/>
      <c r="D662" s="19"/>
      <c r="E662" s="19"/>
    </row>
    <row r="663" spans="1:5" ht="12.75">
      <c r="A663" s="5">
        <v>68</v>
      </c>
      <c r="B663" s="18"/>
      <c r="C663" s="19"/>
      <c r="D663" s="19"/>
      <c r="E663" s="19"/>
    </row>
    <row r="664" spans="1:5" ht="12.75">
      <c r="A664" s="5">
        <v>69</v>
      </c>
      <c r="B664" s="18"/>
      <c r="C664" s="19"/>
      <c r="D664" s="19"/>
      <c r="E664" s="19"/>
    </row>
    <row r="665" spans="1:5" ht="12.75">
      <c r="A665" s="5">
        <v>70</v>
      </c>
      <c r="B665" s="18"/>
      <c r="C665" s="19"/>
      <c r="D665" s="19"/>
      <c r="E665" s="19"/>
    </row>
    <row r="666" spans="1:5" ht="12.75">
      <c r="A666" s="5">
        <v>71</v>
      </c>
      <c r="B666" s="18"/>
      <c r="C666" s="19"/>
      <c r="D666" s="19"/>
      <c r="E666" s="19"/>
    </row>
    <row r="667" spans="1:5" ht="12.75">
      <c r="A667" s="5">
        <v>72</v>
      </c>
      <c r="B667" s="18"/>
      <c r="C667" s="19"/>
      <c r="D667" s="19"/>
      <c r="E667" s="19"/>
    </row>
    <row r="668" spans="1:5" ht="12.75">
      <c r="A668" s="5">
        <v>73</v>
      </c>
      <c r="B668" s="18"/>
      <c r="C668" s="19"/>
      <c r="D668" s="19"/>
      <c r="E668" s="19"/>
    </row>
    <row r="669" spans="1:5" ht="12.75">
      <c r="A669" s="5">
        <v>74</v>
      </c>
      <c r="B669" s="18"/>
      <c r="C669" s="19"/>
      <c r="D669" s="19"/>
      <c r="E669" s="19"/>
    </row>
    <row r="670" spans="1:5" ht="12.75">
      <c r="A670" s="5">
        <v>75</v>
      </c>
      <c r="B670" s="18"/>
      <c r="C670" s="19"/>
      <c r="D670" s="19"/>
      <c r="E670" s="19"/>
    </row>
    <row r="671" spans="1:5" ht="12.75">
      <c r="A671" s="5">
        <v>76</v>
      </c>
      <c r="B671" s="18"/>
      <c r="C671" s="19"/>
      <c r="D671" s="19"/>
      <c r="E671" s="19"/>
    </row>
    <row r="672" spans="1:5" ht="12.75">
      <c r="A672" s="5">
        <v>77</v>
      </c>
      <c r="B672" s="18"/>
      <c r="C672" s="19"/>
      <c r="D672" s="19"/>
      <c r="E672" s="19"/>
    </row>
    <row r="673" spans="1:5" ht="12.75">
      <c r="A673" s="5">
        <v>78</v>
      </c>
      <c r="B673" s="18"/>
      <c r="C673" s="19"/>
      <c r="D673" s="19"/>
      <c r="E673" s="19"/>
    </row>
    <row r="674" spans="1:5" ht="12.75">
      <c r="A674" s="5">
        <v>79</v>
      </c>
      <c r="B674" s="18"/>
      <c r="C674" s="19"/>
      <c r="D674" s="19"/>
      <c r="E674" s="19"/>
    </row>
    <row r="675" spans="1:5" ht="12.75">
      <c r="A675" s="5">
        <v>80</v>
      </c>
      <c r="B675" s="18"/>
      <c r="C675" s="19"/>
      <c r="D675" s="19"/>
      <c r="E675" s="19"/>
    </row>
    <row r="676" spans="1:5" ht="12.75">
      <c r="A676" s="5">
        <v>81</v>
      </c>
      <c r="B676" s="18"/>
      <c r="C676" s="19"/>
      <c r="D676" s="19"/>
      <c r="E676" s="19"/>
    </row>
    <row r="677" spans="1:5" ht="12.75">
      <c r="A677" s="5">
        <v>82</v>
      </c>
      <c r="B677" s="18"/>
      <c r="C677" s="19"/>
      <c r="D677" s="19"/>
      <c r="E677" s="19"/>
    </row>
    <row r="678" spans="1:5" ht="12.75">
      <c r="A678" s="5">
        <v>83</v>
      </c>
      <c r="B678" s="18"/>
      <c r="C678" s="19"/>
      <c r="D678" s="19"/>
      <c r="E678" s="19"/>
    </row>
    <row r="679" spans="1:5" ht="12.75">
      <c r="A679" s="5">
        <v>84</v>
      </c>
      <c r="B679" s="18"/>
      <c r="C679" s="19"/>
      <c r="D679" s="19"/>
      <c r="E679" s="19"/>
    </row>
    <row r="680" spans="1:5" ht="12.75">
      <c r="A680" s="9">
        <v>85</v>
      </c>
      <c r="B680" s="22"/>
      <c r="C680" s="23"/>
      <c r="D680" s="23"/>
      <c r="E680" s="23"/>
    </row>
    <row r="683" ht="13.5" thickBot="1">
      <c r="A683" s="64" t="s">
        <v>299</v>
      </c>
    </row>
    <row r="684" spans="1:5" ht="12.75">
      <c r="A684" s="483"/>
      <c r="B684" s="483" t="s">
        <v>22</v>
      </c>
      <c r="C684" s="483" t="s">
        <v>23</v>
      </c>
      <c r="D684" s="483" t="s">
        <v>24</v>
      </c>
      <c r="E684" s="483" t="s">
        <v>25</v>
      </c>
    </row>
    <row r="685" spans="1:5" ht="12.75">
      <c r="A685" s="438"/>
      <c r="B685" s="439"/>
      <c r="C685" s="438"/>
      <c r="D685" s="438"/>
      <c r="E685" s="438"/>
    </row>
    <row r="686" spans="1:5" ht="12.75">
      <c r="A686" s="438"/>
      <c r="B686" s="484"/>
      <c r="C686" s="439"/>
      <c r="D686" s="438"/>
      <c r="E686" s="438"/>
    </row>
    <row r="687" spans="1:5" ht="12.75">
      <c r="A687" s="438"/>
      <c r="B687" s="484"/>
      <c r="C687" s="485"/>
      <c r="D687" s="439"/>
      <c r="E687" s="438"/>
    </row>
    <row r="688" spans="1:5" ht="13.5" thickBot="1">
      <c r="A688" s="440"/>
      <c r="B688" s="486"/>
      <c r="C688" s="487"/>
      <c r="D688" s="487"/>
      <c r="E688" s="488"/>
    </row>
    <row r="689" ht="13.5" thickBot="1">
      <c r="A689" s="190" t="s">
        <v>300</v>
      </c>
    </row>
    <row r="690" spans="1:5" ht="12.75">
      <c r="A690" s="185"/>
      <c r="B690" s="185" t="s">
        <v>22</v>
      </c>
      <c r="C690" s="185" t="s">
        <v>23</v>
      </c>
      <c r="D690" s="185" t="s">
        <v>24</v>
      </c>
      <c r="E690" s="185" t="s">
        <v>25</v>
      </c>
    </row>
    <row r="691" spans="1:5" ht="12.75">
      <c r="A691" s="183" t="s">
        <v>22</v>
      </c>
      <c r="B691" s="186"/>
      <c r="C691" s="183"/>
      <c r="D691" s="183"/>
      <c r="E691" s="183"/>
    </row>
    <row r="692" spans="1:5" ht="12.75">
      <c r="A692" s="183" t="s">
        <v>23</v>
      </c>
      <c r="B692" s="186"/>
      <c r="C692" s="186"/>
      <c r="D692" s="183"/>
      <c r="E692" s="183"/>
    </row>
    <row r="693" spans="1:5" ht="12.75">
      <c r="A693" s="183" t="s">
        <v>24</v>
      </c>
      <c r="B693" s="186"/>
      <c r="C693" s="186"/>
      <c r="D693" s="186"/>
      <c r="E693" s="183"/>
    </row>
    <row r="694" spans="1:5" ht="13.5" thickBot="1">
      <c r="A694" s="184" t="s">
        <v>25</v>
      </c>
      <c r="B694" s="189"/>
      <c r="C694" s="189"/>
      <c r="D694" s="189"/>
      <c r="E694" s="189"/>
    </row>
    <row r="695" ht="13.5" thickBot="1">
      <c r="A695" s="190" t="s">
        <v>301</v>
      </c>
    </row>
    <row r="696" spans="1:5" ht="12.75">
      <c r="A696" s="185"/>
      <c r="B696" s="185" t="s">
        <v>22</v>
      </c>
      <c r="C696" s="185" t="s">
        <v>23</v>
      </c>
      <c r="D696" s="185" t="s">
        <v>24</v>
      </c>
      <c r="E696" s="185" t="s">
        <v>25</v>
      </c>
    </row>
    <row r="697" spans="1:5" ht="12.75">
      <c r="A697" s="183" t="s">
        <v>22</v>
      </c>
      <c r="B697" s="186"/>
      <c r="C697" s="183"/>
      <c r="D697" s="183"/>
      <c r="E697" s="183"/>
    </row>
    <row r="698" spans="1:5" ht="12.75">
      <c r="A698" s="183" t="s">
        <v>23</v>
      </c>
      <c r="B698" s="187"/>
      <c r="C698" s="186"/>
      <c r="D698" s="183"/>
      <c r="E698" s="183"/>
    </row>
    <row r="699" spans="1:5" ht="12.75">
      <c r="A699" s="183" t="s">
        <v>24</v>
      </c>
      <c r="B699" s="187"/>
      <c r="C699" s="187"/>
      <c r="D699" s="186"/>
      <c r="E699" s="183"/>
    </row>
    <row r="700" spans="1:5" ht="13.5" thickBot="1">
      <c r="A700" s="184" t="s">
        <v>25</v>
      </c>
      <c r="B700" s="188"/>
      <c r="C700" s="189"/>
      <c r="D700" s="188"/>
      <c r="E700" s="189"/>
    </row>
    <row r="703" spans="1:2" ht="12.75">
      <c r="A703" s="64" t="s">
        <v>304</v>
      </c>
      <c r="B703" s="186"/>
    </row>
    <row r="704" spans="1:4" ht="12.75">
      <c r="A704" s="193" t="s">
        <v>302</v>
      </c>
      <c r="B704" s="194"/>
      <c r="C704" s="194"/>
      <c r="D704" s="192"/>
    </row>
    <row r="705" spans="1:4" ht="12.75">
      <c r="A705" s="12" t="s">
        <v>196</v>
      </c>
      <c r="B705" s="195"/>
      <c r="C705" s="24"/>
      <c r="D705" s="191"/>
    </row>
    <row r="706" spans="1:4" ht="12.75">
      <c r="A706" s="5" t="s">
        <v>197</v>
      </c>
      <c r="B706" s="48"/>
      <c r="C706" s="6"/>
      <c r="D706" s="39"/>
    </row>
    <row r="707" spans="1:4" ht="12.75">
      <c r="A707" s="5" t="s">
        <v>198</v>
      </c>
      <c r="B707" s="6"/>
      <c r="C707" s="6"/>
      <c r="D707" s="39"/>
    </row>
    <row r="708" spans="1:4" ht="12.75">
      <c r="A708" s="5" t="s">
        <v>199</v>
      </c>
      <c r="B708" s="6"/>
      <c r="C708" s="6"/>
      <c r="D708" s="93"/>
    </row>
    <row r="709" spans="1:4" ht="12.75">
      <c r="A709" s="5" t="s">
        <v>200</v>
      </c>
      <c r="B709" s="6"/>
      <c r="C709" s="6"/>
      <c r="D709" s="39"/>
    </row>
    <row r="710" spans="1:4" ht="12.75">
      <c r="A710" s="57" t="s">
        <v>201</v>
      </c>
      <c r="B710" s="6"/>
      <c r="C710" s="6"/>
      <c r="D710" s="39"/>
    </row>
    <row r="711" spans="1:4" ht="12.75">
      <c r="A711" s="59" t="s">
        <v>202</v>
      </c>
      <c r="B711" s="10"/>
      <c r="C711" s="10"/>
      <c r="D711" s="82"/>
    </row>
    <row r="715" spans="1:4" ht="12.75">
      <c r="A715" s="193" t="s">
        <v>303</v>
      </c>
      <c r="B715" s="24"/>
      <c r="C715" s="24"/>
      <c r="D715" s="37"/>
    </row>
    <row r="716" spans="1:4" ht="12.75">
      <c r="A716" s="12" t="s">
        <v>196</v>
      </c>
      <c r="B716" s="195"/>
      <c r="C716" s="24"/>
      <c r="D716" s="191"/>
    </row>
    <row r="717" spans="1:4" ht="12.75">
      <c r="A717" s="5" t="s">
        <v>197</v>
      </c>
      <c r="B717" s="48"/>
      <c r="C717" s="6"/>
      <c r="D717" s="39"/>
    </row>
    <row r="718" spans="1:4" ht="12.75">
      <c r="A718" s="5" t="s">
        <v>199</v>
      </c>
      <c r="B718" s="6"/>
      <c r="C718" s="6"/>
      <c r="D718" s="39"/>
    </row>
    <row r="719" spans="1:4" ht="12.75">
      <c r="A719" s="59" t="s">
        <v>203</v>
      </c>
      <c r="B719" s="10"/>
      <c r="C719" s="10"/>
      <c r="D719" s="84"/>
    </row>
    <row r="722" ht="12.75">
      <c r="A722" s="1" t="s">
        <v>213</v>
      </c>
    </row>
    <row r="724" spans="1:3" ht="12.75">
      <c r="A724" s="12"/>
      <c r="B724" s="13" t="s">
        <v>210</v>
      </c>
      <c r="C724" s="13" t="s">
        <v>212</v>
      </c>
    </row>
    <row r="725" spans="1:3" ht="13.5" thickBot="1">
      <c r="A725" s="15" t="s">
        <v>209</v>
      </c>
      <c r="B725" s="16" t="s">
        <v>51</v>
      </c>
      <c r="C725" s="16" t="s">
        <v>305</v>
      </c>
    </row>
    <row r="726" spans="1:3" ht="13.5" thickTop="1">
      <c r="A726" s="5" t="s">
        <v>204</v>
      </c>
      <c r="B726" s="28">
        <v>45</v>
      </c>
      <c r="C726" s="157"/>
    </row>
    <row r="727" spans="1:3" ht="12.75">
      <c r="A727" s="5" t="s">
        <v>205</v>
      </c>
      <c r="B727" s="28">
        <v>60</v>
      </c>
      <c r="C727" s="157"/>
    </row>
    <row r="728" spans="1:3" ht="12.75">
      <c r="A728" s="5" t="s">
        <v>206</v>
      </c>
      <c r="B728" s="28">
        <v>75</v>
      </c>
      <c r="C728" s="157"/>
    </row>
    <row r="729" spans="1:3" ht="12.75">
      <c r="A729" s="5" t="s">
        <v>207</v>
      </c>
      <c r="B729" s="28">
        <f>B728+15</f>
        <v>90</v>
      </c>
      <c r="C729" s="157"/>
    </row>
    <row r="730" spans="1:3" ht="13.5" thickBot="1">
      <c r="A730" s="254" t="s">
        <v>208</v>
      </c>
      <c r="B730" s="41">
        <f>B729+15</f>
        <v>105</v>
      </c>
      <c r="C730" s="284"/>
    </row>
    <row r="731" spans="1:3" ht="12.75">
      <c r="A731" s="5" t="s">
        <v>138</v>
      </c>
      <c r="B731" s="28">
        <f>AVERAGE(B726:B730)</f>
        <v>75</v>
      </c>
      <c r="C731" s="28"/>
    </row>
    <row r="732" spans="1:3" ht="12.75">
      <c r="A732" s="9" t="s">
        <v>211</v>
      </c>
      <c r="B732" s="30">
        <v>15</v>
      </c>
      <c r="C732" s="30"/>
    </row>
    <row r="736" ht="12.75">
      <c r="A736" s="64" t="s">
        <v>306</v>
      </c>
    </row>
    <row r="737" spans="1:5" ht="12.75">
      <c r="A737" s="114" t="s">
        <v>234</v>
      </c>
      <c r="B737" s="13" t="s">
        <v>229</v>
      </c>
      <c r="C737" s="206" t="s">
        <v>230</v>
      </c>
      <c r="D737" s="13" t="s">
        <v>231</v>
      </c>
      <c r="E737" s="76" t="s">
        <v>232</v>
      </c>
    </row>
    <row r="738" spans="1:5" ht="13.5" thickBot="1">
      <c r="A738" s="211" t="s">
        <v>233</v>
      </c>
      <c r="B738" s="209" t="s">
        <v>53</v>
      </c>
      <c r="C738" s="210" t="s">
        <v>54</v>
      </c>
      <c r="D738" s="209" t="s">
        <v>55</v>
      </c>
      <c r="E738" s="285" t="s">
        <v>56</v>
      </c>
    </row>
    <row r="739" spans="1:5" ht="13.5" thickTop="1">
      <c r="A739" s="202">
        <v>45</v>
      </c>
      <c r="B739" s="204"/>
      <c r="C739" s="203"/>
      <c r="D739" s="204"/>
      <c r="E739" s="286"/>
    </row>
    <row r="740" spans="1:5" ht="12.75">
      <c r="A740" s="202">
        <v>60</v>
      </c>
      <c r="B740" s="204"/>
      <c r="C740" s="203"/>
      <c r="D740" s="204"/>
      <c r="E740" s="286"/>
    </row>
    <row r="741" spans="1:5" ht="12.75">
      <c r="A741" s="202">
        <v>75</v>
      </c>
      <c r="B741" s="204"/>
      <c r="C741" s="203"/>
      <c r="D741" s="204"/>
      <c r="E741" s="286"/>
    </row>
    <row r="742" spans="1:5" ht="12.75">
      <c r="A742" s="202">
        <f>A741+15</f>
        <v>90</v>
      </c>
      <c r="B742" s="204"/>
      <c r="C742" s="203"/>
      <c r="D742" s="204"/>
      <c r="E742" s="286"/>
    </row>
    <row r="743" spans="1:5" ht="12.75">
      <c r="A743" s="212">
        <f>A742+15</f>
        <v>105</v>
      </c>
      <c r="B743" s="208"/>
      <c r="C743" s="205"/>
      <c r="D743" s="208"/>
      <c r="E743" s="287"/>
    </row>
    <row r="744" spans="1:5" ht="12.75">
      <c r="A744" s="9" t="s">
        <v>248</v>
      </c>
      <c r="B744" s="241"/>
      <c r="C744" s="288"/>
      <c r="D744" s="241"/>
      <c r="E744" s="289"/>
    </row>
    <row r="747" spans="1:7" ht="12.75">
      <c r="A747" s="12" t="s">
        <v>38</v>
      </c>
      <c r="B747" s="37" t="s">
        <v>39</v>
      </c>
      <c r="C747" s="45" t="s">
        <v>40</v>
      </c>
      <c r="D747" s="616" t="s">
        <v>214</v>
      </c>
      <c r="E747" s="617"/>
      <c r="F747" s="617"/>
      <c r="G747" s="618"/>
    </row>
    <row r="748" spans="1:7" ht="13.5" thickBot="1">
      <c r="A748" s="15" t="s">
        <v>47</v>
      </c>
      <c r="B748" s="16" t="s">
        <v>48</v>
      </c>
      <c r="C748" s="47" t="s">
        <v>49</v>
      </c>
      <c r="D748" s="196" t="s">
        <v>53</v>
      </c>
      <c r="E748" s="196" t="s">
        <v>54</v>
      </c>
      <c r="F748" s="197" t="s">
        <v>55</v>
      </c>
      <c r="G748" s="196" t="s">
        <v>56</v>
      </c>
    </row>
    <row r="749" spans="1:7" ht="13.5" thickTop="1">
      <c r="A749" s="5">
        <v>1</v>
      </c>
      <c r="B749" s="28">
        <v>45</v>
      </c>
      <c r="C749" s="50"/>
      <c r="D749" s="198"/>
      <c r="E749" s="198"/>
      <c r="F749" s="199"/>
      <c r="G749" s="198"/>
    </row>
    <row r="750" spans="1:7" ht="12.75">
      <c r="A750" s="5">
        <v>2</v>
      </c>
      <c r="B750" s="28">
        <v>45</v>
      </c>
      <c r="C750" s="50"/>
      <c r="D750" s="198"/>
      <c r="E750" s="198"/>
      <c r="F750" s="199"/>
      <c r="G750" s="198"/>
    </row>
    <row r="751" spans="1:7" ht="12.75">
      <c r="A751" s="5">
        <v>3</v>
      </c>
      <c r="B751" s="28">
        <v>45</v>
      </c>
      <c r="C751" s="50"/>
      <c r="D751" s="198"/>
      <c r="E751" s="198"/>
      <c r="F751" s="199"/>
      <c r="G751" s="198"/>
    </row>
    <row r="752" spans="1:7" ht="12.75">
      <c r="A752" s="5">
        <v>4</v>
      </c>
      <c r="B752" s="28">
        <v>45</v>
      </c>
      <c r="C752" s="50"/>
      <c r="D752" s="198"/>
      <c r="E752" s="198"/>
      <c r="F752" s="199"/>
      <c r="G752" s="198"/>
    </row>
    <row r="753" spans="1:7" ht="12.75">
      <c r="A753" s="5">
        <v>5</v>
      </c>
      <c r="B753" s="28">
        <v>45</v>
      </c>
      <c r="C753" s="50"/>
      <c r="D753" s="198"/>
      <c r="E753" s="198"/>
      <c r="F753" s="199"/>
      <c r="G753" s="198"/>
    </row>
    <row r="754" spans="1:7" ht="12.75">
      <c r="A754" s="5">
        <v>6</v>
      </c>
      <c r="B754" s="28">
        <v>45</v>
      </c>
      <c r="C754" s="50"/>
      <c r="D754" s="198"/>
      <c r="E754" s="198"/>
      <c r="F754" s="199"/>
      <c r="G754" s="198"/>
    </row>
    <row r="755" spans="1:7" ht="12.75">
      <c r="A755" s="5">
        <v>7</v>
      </c>
      <c r="B755" s="28">
        <v>45</v>
      </c>
      <c r="C755" s="50"/>
      <c r="D755" s="198"/>
      <c r="E755" s="198"/>
      <c r="F755" s="199"/>
      <c r="G755" s="198"/>
    </row>
    <row r="756" spans="1:7" ht="12.75">
      <c r="A756" s="5">
        <v>8</v>
      </c>
      <c r="B756" s="28">
        <v>45</v>
      </c>
      <c r="C756" s="50"/>
      <c r="D756" s="198"/>
      <c r="E756" s="198"/>
      <c r="F756" s="199"/>
      <c r="G756" s="198"/>
    </row>
    <row r="757" spans="1:7" ht="12.75">
      <c r="A757" s="5">
        <v>9</v>
      </c>
      <c r="B757" s="28">
        <v>45</v>
      </c>
      <c r="C757" s="50"/>
      <c r="D757" s="198"/>
      <c r="E757" s="198"/>
      <c r="F757" s="199"/>
      <c r="G757" s="198"/>
    </row>
    <row r="758" spans="1:7" ht="12.75">
      <c r="A758" s="5">
        <v>10</v>
      </c>
      <c r="B758" s="28">
        <v>45</v>
      </c>
      <c r="C758" s="50"/>
      <c r="D758" s="198"/>
      <c r="E758" s="198"/>
      <c r="F758" s="199"/>
      <c r="G758" s="198"/>
    </row>
    <row r="759" spans="1:7" ht="12.75">
      <c r="A759" s="5">
        <v>11</v>
      </c>
      <c r="B759" s="28">
        <v>45</v>
      </c>
      <c r="C759" s="50"/>
      <c r="D759" s="198"/>
      <c r="E759" s="198"/>
      <c r="F759" s="199"/>
      <c r="G759" s="198"/>
    </row>
    <row r="760" spans="1:7" ht="12.75">
      <c r="A760" s="5">
        <v>12</v>
      </c>
      <c r="B760" s="28">
        <v>45</v>
      </c>
      <c r="C760" s="50"/>
      <c r="D760" s="198"/>
      <c r="E760" s="198"/>
      <c r="F760" s="199"/>
      <c r="G760" s="198"/>
    </row>
    <row r="761" spans="1:7" ht="12.75">
      <c r="A761" s="5">
        <v>1</v>
      </c>
      <c r="B761" s="28">
        <v>60</v>
      </c>
      <c r="C761" s="50"/>
      <c r="D761" s="198"/>
      <c r="E761" s="198"/>
      <c r="F761" s="199"/>
      <c r="G761" s="198"/>
    </row>
    <row r="762" spans="1:7" ht="12.75">
      <c r="A762" s="5">
        <v>2</v>
      </c>
      <c r="B762" s="28">
        <v>60</v>
      </c>
      <c r="C762" s="50"/>
      <c r="D762" s="198"/>
      <c r="E762" s="198"/>
      <c r="F762" s="199"/>
      <c r="G762" s="198"/>
    </row>
    <row r="763" spans="1:7" ht="12.75">
      <c r="A763" s="5">
        <v>3</v>
      </c>
      <c r="B763" s="28">
        <v>60</v>
      </c>
      <c r="C763" s="50"/>
      <c r="D763" s="198"/>
      <c r="E763" s="198"/>
      <c r="F763" s="199"/>
      <c r="G763" s="198"/>
    </row>
    <row r="764" spans="1:7" ht="12.75">
      <c r="A764" s="5">
        <v>4</v>
      </c>
      <c r="B764" s="28">
        <v>60</v>
      </c>
      <c r="C764" s="50"/>
      <c r="D764" s="198"/>
      <c r="E764" s="198"/>
      <c r="F764" s="199"/>
      <c r="G764" s="198"/>
    </row>
    <row r="765" spans="1:7" ht="12.75">
      <c r="A765" s="5">
        <v>5</v>
      </c>
      <c r="B765" s="28">
        <v>60</v>
      </c>
      <c r="C765" s="50"/>
      <c r="D765" s="198"/>
      <c r="E765" s="198"/>
      <c r="F765" s="199"/>
      <c r="G765" s="198"/>
    </row>
    <row r="766" spans="1:7" ht="12.75">
      <c r="A766" s="5">
        <v>6</v>
      </c>
      <c r="B766" s="28">
        <v>60</v>
      </c>
      <c r="C766" s="50"/>
      <c r="D766" s="198"/>
      <c r="E766" s="198"/>
      <c r="F766" s="199"/>
      <c r="G766" s="198"/>
    </row>
    <row r="767" spans="1:7" ht="12.75">
      <c r="A767" s="5">
        <v>7</v>
      </c>
      <c r="B767" s="28">
        <v>60</v>
      </c>
      <c r="C767" s="50"/>
      <c r="D767" s="198"/>
      <c r="E767" s="198"/>
      <c r="F767" s="199"/>
      <c r="G767" s="198"/>
    </row>
    <row r="768" spans="1:7" ht="12.75">
      <c r="A768" s="5">
        <v>8</v>
      </c>
      <c r="B768" s="28">
        <v>60</v>
      </c>
      <c r="C768" s="50"/>
      <c r="D768" s="198"/>
      <c r="E768" s="198"/>
      <c r="F768" s="199"/>
      <c r="G768" s="198"/>
    </row>
    <row r="769" spans="1:7" ht="12.75">
      <c r="A769" s="5">
        <v>9</v>
      </c>
      <c r="B769" s="28">
        <v>60</v>
      </c>
      <c r="C769" s="50"/>
      <c r="D769" s="198"/>
      <c r="E769" s="198"/>
      <c r="F769" s="199"/>
      <c r="G769" s="198"/>
    </row>
    <row r="770" spans="1:7" ht="12.75">
      <c r="A770" s="5">
        <v>10</v>
      </c>
      <c r="B770" s="28">
        <v>60</v>
      </c>
      <c r="C770" s="50"/>
      <c r="D770" s="198"/>
      <c r="E770" s="198"/>
      <c r="F770" s="199"/>
      <c r="G770" s="198"/>
    </row>
    <row r="771" spans="1:7" ht="12.75">
      <c r="A771" s="5">
        <v>11</v>
      </c>
      <c r="B771" s="28">
        <v>60</v>
      </c>
      <c r="C771" s="50"/>
      <c r="D771" s="198"/>
      <c r="E771" s="198"/>
      <c r="F771" s="199"/>
      <c r="G771" s="198"/>
    </row>
    <row r="772" spans="1:7" ht="12.75">
      <c r="A772" s="5">
        <v>12</v>
      </c>
      <c r="B772" s="28">
        <v>60</v>
      </c>
      <c r="C772" s="50"/>
      <c r="D772" s="198"/>
      <c r="E772" s="198"/>
      <c r="F772" s="199"/>
      <c r="G772" s="198"/>
    </row>
    <row r="773" spans="1:7" ht="12.75">
      <c r="A773" s="5">
        <v>1</v>
      </c>
      <c r="B773" s="28">
        <v>75</v>
      </c>
      <c r="C773" s="50"/>
      <c r="D773" s="198"/>
      <c r="E773" s="198"/>
      <c r="F773" s="199"/>
      <c r="G773" s="198"/>
    </row>
    <row r="774" spans="1:7" ht="12.75">
      <c r="A774" s="5">
        <v>2</v>
      </c>
      <c r="B774" s="28">
        <v>75</v>
      </c>
      <c r="C774" s="50"/>
      <c r="D774" s="198"/>
      <c r="E774" s="198"/>
      <c r="F774" s="199"/>
      <c r="G774" s="198"/>
    </row>
    <row r="775" spans="1:7" ht="12.75">
      <c r="A775" s="5">
        <v>3</v>
      </c>
      <c r="B775" s="28">
        <v>75</v>
      </c>
      <c r="C775" s="50"/>
      <c r="D775" s="198"/>
      <c r="E775" s="198"/>
      <c r="F775" s="199"/>
      <c r="G775" s="198"/>
    </row>
    <row r="776" spans="1:7" ht="12.75">
      <c r="A776" s="5">
        <v>4</v>
      </c>
      <c r="B776" s="28">
        <v>75</v>
      </c>
      <c r="C776" s="50"/>
      <c r="D776" s="198"/>
      <c r="E776" s="198"/>
      <c r="F776" s="199"/>
      <c r="G776" s="198"/>
    </row>
    <row r="777" spans="1:7" ht="12.75">
      <c r="A777" s="5">
        <v>5</v>
      </c>
      <c r="B777" s="28">
        <v>75</v>
      </c>
      <c r="C777" s="50"/>
      <c r="D777" s="198"/>
      <c r="E777" s="198"/>
      <c r="F777" s="199"/>
      <c r="G777" s="198"/>
    </row>
    <row r="778" spans="1:7" ht="12.75">
      <c r="A778" s="5">
        <v>6</v>
      </c>
      <c r="B778" s="28">
        <v>75</v>
      </c>
      <c r="C778" s="50"/>
      <c r="D778" s="198"/>
      <c r="E778" s="198"/>
      <c r="F778" s="199"/>
      <c r="G778" s="198"/>
    </row>
    <row r="779" spans="1:7" ht="12.75">
      <c r="A779" s="5">
        <v>7</v>
      </c>
      <c r="B779" s="28">
        <v>75</v>
      </c>
      <c r="C779" s="50"/>
      <c r="D779" s="198"/>
      <c r="E779" s="198"/>
      <c r="F779" s="199"/>
      <c r="G779" s="198"/>
    </row>
    <row r="780" spans="1:7" ht="12.75">
      <c r="A780" s="5">
        <v>8</v>
      </c>
      <c r="B780" s="28">
        <v>75</v>
      </c>
      <c r="C780" s="50"/>
      <c r="D780" s="198"/>
      <c r="E780" s="198"/>
      <c r="F780" s="199"/>
      <c r="G780" s="198"/>
    </row>
    <row r="781" spans="1:7" ht="12.75">
      <c r="A781" s="5">
        <v>9</v>
      </c>
      <c r="B781" s="28">
        <v>75</v>
      </c>
      <c r="C781" s="50"/>
      <c r="D781" s="198"/>
      <c r="E781" s="198"/>
      <c r="F781" s="199"/>
      <c r="G781" s="198"/>
    </row>
    <row r="782" spans="1:7" ht="12.75">
      <c r="A782" s="5">
        <v>10</v>
      </c>
      <c r="B782" s="28">
        <v>75</v>
      </c>
      <c r="C782" s="50"/>
      <c r="D782" s="198"/>
      <c r="E782" s="198"/>
      <c r="F782" s="199"/>
      <c r="G782" s="198"/>
    </row>
    <row r="783" spans="1:7" ht="12.75">
      <c r="A783" s="5">
        <v>11</v>
      </c>
      <c r="B783" s="28">
        <v>75</v>
      </c>
      <c r="C783" s="50"/>
      <c r="D783" s="198"/>
      <c r="E783" s="198"/>
      <c r="F783" s="199"/>
      <c r="G783" s="198"/>
    </row>
    <row r="784" spans="1:7" ht="12.75">
      <c r="A784" s="5">
        <v>12</v>
      </c>
      <c r="B784" s="28">
        <v>75</v>
      </c>
      <c r="C784" s="50"/>
      <c r="D784" s="198"/>
      <c r="E784" s="198"/>
      <c r="F784" s="199"/>
      <c r="G784" s="198"/>
    </row>
    <row r="785" spans="1:7" ht="12.75">
      <c r="A785" s="5">
        <v>1</v>
      </c>
      <c r="B785" s="28">
        <v>90</v>
      </c>
      <c r="C785" s="50"/>
      <c r="D785" s="198"/>
      <c r="E785" s="198"/>
      <c r="F785" s="199"/>
      <c r="G785" s="198"/>
    </row>
    <row r="786" spans="1:7" ht="12.75">
      <c r="A786" s="5">
        <v>2</v>
      </c>
      <c r="B786" s="28">
        <v>90</v>
      </c>
      <c r="C786" s="50"/>
      <c r="D786" s="198"/>
      <c r="E786" s="198"/>
      <c r="F786" s="199"/>
      <c r="G786" s="198"/>
    </row>
    <row r="787" spans="1:7" ht="12.75">
      <c r="A787" s="5">
        <v>3</v>
      </c>
      <c r="B787" s="28">
        <v>90</v>
      </c>
      <c r="C787" s="50"/>
      <c r="D787" s="198"/>
      <c r="E787" s="198"/>
      <c r="F787" s="199"/>
      <c r="G787" s="198"/>
    </row>
    <row r="788" spans="1:7" ht="12.75">
      <c r="A788" s="5">
        <v>4</v>
      </c>
      <c r="B788" s="28">
        <v>90</v>
      </c>
      <c r="C788" s="50"/>
      <c r="D788" s="198"/>
      <c r="E788" s="198"/>
      <c r="F788" s="199"/>
      <c r="G788" s="198"/>
    </row>
    <row r="789" spans="1:7" ht="12.75">
      <c r="A789" s="5">
        <v>5</v>
      </c>
      <c r="B789" s="28">
        <v>90</v>
      </c>
      <c r="C789" s="50"/>
      <c r="D789" s="198"/>
      <c r="E789" s="198"/>
      <c r="F789" s="199"/>
      <c r="G789" s="198"/>
    </row>
    <row r="790" spans="1:7" ht="12.75">
      <c r="A790" s="5">
        <v>6</v>
      </c>
      <c r="B790" s="28">
        <v>90</v>
      </c>
      <c r="C790" s="50"/>
      <c r="D790" s="198"/>
      <c r="E790" s="198"/>
      <c r="F790" s="199"/>
      <c r="G790" s="198"/>
    </row>
    <row r="791" spans="1:7" ht="12.75">
      <c r="A791" s="5">
        <v>7</v>
      </c>
      <c r="B791" s="28">
        <v>90</v>
      </c>
      <c r="C791" s="50"/>
      <c r="D791" s="198"/>
      <c r="E791" s="198"/>
      <c r="F791" s="199"/>
      <c r="G791" s="198"/>
    </row>
    <row r="792" spans="1:7" ht="12.75">
      <c r="A792" s="5">
        <v>8</v>
      </c>
      <c r="B792" s="28">
        <v>90</v>
      </c>
      <c r="C792" s="50"/>
      <c r="D792" s="198"/>
      <c r="E792" s="198"/>
      <c r="F792" s="199"/>
      <c r="G792" s="198"/>
    </row>
    <row r="793" spans="1:7" ht="12.75">
      <c r="A793" s="5">
        <v>9</v>
      </c>
      <c r="B793" s="28">
        <v>90</v>
      </c>
      <c r="C793" s="50"/>
      <c r="D793" s="198"/>
      <c r="E793" s="198"/>
      <c r="F793" s="199"/>
      <c r="G793" s="198"/>
    </row>
    <row r="794" spans="1:7" ht="12.75">
      <c r="A794" s="5">
        <v>10</v>
      </c>
      <c r="B794" s="28">
        <v>90</v>
      </c>
      <c r="C794" s="50"/>
      <c r="D794" s="198"/>
      <c r="E794" s="198"/>
      <c r="F794" s="199"/>
      <c r="G794" s="198"/>
    </row>
    <row r="795" spans="1:7" ht="12.75">
      <c r="A795" s="5">
        <v>11</v>
      </c>
      <c r="B795" s="28">
        <v>90</v>
      </c>
      <c r="C795" s="50"/>
      <c r="D795" s="198"/>
      <c r="E795" s="198"/>
      <c r="F795" s="199"/>
      <c r="G795" s="198"/>
    </row>
    <row r="796" spans="1:7" ht="12.75">
      <c r="A796" s="5">
        <v>12</v>
      </c>
      <c r="B796" s="28">
        <v>90</v>
      </c>
      <c r="C796" s="50"/>
      <c r="D796" s="198"/>
      <c r="E796" s="198"/>
      <c r="F796" s="199"/>
      <c r="G796" s="198"/>
    </row>
    <row r="797" spans="1:7" ht="12.75">
      <c r="A797" s="5">
        <v>1</v>
      </c>
      <c r="B797" s="28">
        <v>105</v>
      </c>
      <c r="C797" s="50"/>
      <c r="D797" s="198"/>
      <c r="E797" s="198"/>
      <c r="F797" s="199"/>
      <c r="G797" s="198"/>
    </row>
    <row r="798" spans="1:7" ht="12.75">
      <c r="A798" s="5">
        <v>2</v>
      </c>
      <c r="B798" s="28">
        <v>105</v>
      </c>
      <c r="C798" s="50"/>
      <c r="D798" s="198"/>
      <c r="E798" s="198"/>
      <c r="F798" s="199"/>
      <c r="G798" s="198"/>
    </row>
    <row r="799" spans="1:7" ht="12.75">
      <c r="A799" s="5">
        <v>3</v>
      </c>
      <c r="B799" s="28">
        <v>105</v>
      </c>
      <c r="C799" s="50"/>
      <c r="D799" s="198"/>
      <c r="E799" s="198"/>
      <c r="F799" s="199"/>
      <c r="G799" s="198"/>
    </row>
    <row r="800" spans="1:7" ht="12.75">
      <c r="A800" s="5">
        <v>4</v>
      </c>
      <c r="B800" s="28">
        <v>105</v>
      </c>
      <c r="C800" s="50"/>
      <c r="D800" s="198"/>
      <c r="E800" s="198"/>
      <c r="F800" s="199"/>
      <c r="G800" s="198"/>
    </row>
    <row r="801" spans="1:7" ht="12.75">
      <c r="A801" s="5">
        <v>5</v>
      </c>
      <c r="B801" s="28">
        <v>105</v>
      </c>
      <c r="C801" s="50"/>
      <c r="D801" s="198"/>
      <c r="E801" s="198"/>
      <c r="F801" s="199"/>
      <c r="G801" s="198"/>
    </row>
    <row r="802" spans="1:7" ht="12.75">
      <c r="A802" s="5">
        <v>6</v>
      </c>
      <c r="B802" s="28">
        <v>105</v>
      </c>
      <c r="C802" s="50"/>
      <c r="D802" s="198"/>
      <c r="E802" s="198"/>
      <c r="F802" s="199"/>
      <c r="G802" s="198"/>
    </row>
    <row r="803" spans="1:7" ht="12.75">
      <c r="A803" s="5">
        <v>7</v>
      </c>
      <c r="B803" s="28">
        <v>105</v>
      </c>
      <c r="C803" s="50"/>
      <c r="D803" s="198"/>
      <c r="E803" s="198"/>
      <c r="F803" s="199"/>
      <c r="G803" s="198"/>
    </row>
    <row r="804" spans="1:7" ht="12.75">
      <c r="A804" s="5">
        <v>8</v>
      </c>
      <c r="B804" s="28">
        <v>105</v>
      </c>
      <c r="C804" s="50"/>
      <c r="D804" s="198"/>
      <c r="E804" s="198"/>
      <c r="F804" s="199"/>
      <c r="G804" s="198"/>
    </row>
    <row r="805" spans="1:7" ht="12.75">
      <c r="A805" s="5">
        <v>9</v>
      </c>
      <c r="B805" s="28">
        <v>105</v>
      </c>
      <c r="C805" s="50"/>
      <c r="D805" s="198"/>
      <c r="E805" s="198"/>
      <c r="F805" s="199"/>
      <c r="G805" s="198"/>
    </row>
    <row r="806" spans="1:7" ht="12.75">
      <c r="A806" s="5">
        <v>10</v>
      </c>
      <c r="B806" s="28">
        <v>105</v>
      </c>
      <c r="C806" s="50"/>
      <c r="D806" s="198"/>
      <c r="E806" s="198"/>
      <c r="F806" s="199"/>
      <c r="G806" s="198"/>
    </row>
    <row r="807" spans="1:7" ht="12.75">
      <c r="A807" s="5">
        <v>11</v>
      </c>
      <c r="B807" s="28">
        <v>105</v>
      </c>
      <c r="C807" s="50"/>
      <c r="D807" s="198"/>
      <c r="E807" s="198"/>
      <c r="F807" s="199"/>
      <c r="G807" s="198"/>
    </row>
    <row r="808" spans="1:7" ht="12.75">
      <c r="A808" s="9">
        <v>12</v>
      </c>
      <c r="B808" s="30">
        <v>105</v>
      </c>
      <c r="C808" s="55"/>
      <c r="D808" s="200"/>
      <c r="E808" s="200"/>
      <c r="F808" s="201"/>
      <c r="G808" s="200"/>
    </row>
    <row r="809" spans="1:9" ht="12.75">
      <c r="A809" s="12" t="s">
        <v>235</v>
      </c>
      <c r="B809" s="24"/>
      <c r="C809" s="37"/>
      <c r="D809" s="191"/>
      <c r="E809" s="195"/>
      <c r="F809" s="191"/>
      <c r="G809" s="223"/>
      <c r="I809" s="240"/>
    </row>
    <row r="810" spans="1:7" ht="12.75">
      <c r="A810" s="5" t="s">
        <v>236</v>
      </c>
      <c r="B810" s="6"/>
      <c r="C810" s="28"/>
      <c r="D810" s="215"/>
      <c r="E810" s="213"/>
      <c r="F810" s="215"/>
      <c r="G810" s="214"/>
    </row>
    <row r="811" spans="1:7" ht="12.75">
      <c r="A811" s="293" t="s">
        <v>308</v>
      </c>
      <c r="B811" s="6"/>
      <c r="C811" s="220"/>
      <c r="D811" s="290"/>
      <c r="E811" s="291"/>
      <c r="F811" s="292"/>
      <c r="G811" s="246"/>
    </row>
    <row r="812" spans="1:7" ht="12.75">
      <c r="A812" s="5" t="s">
        <v>243</v>
      </c>
      <c r="B812" s="6"/>
      <c r="C812" s="216">
        <v>0.05</v>
      </c>
      <c r="D812" s="215"/>
      <c r="E812" s="213"/>
      <c r="F812" s="215"/>
      <c r="G812" s="214"/>
    </row>
    <row r="813" spans="1:7" ht="12.75">
      <c r="A813" s="9" t="s">
        <v>242</v>
      </c>
      <c r="B813" s="10"/>
      <c r="C813" s="11"/>
      <c r="D813" s="82"/>
      <c r="E813" s="52"/>
      <c r="F813" s="82"/>
      <c r="G813" s="83"/>
    </row>
    <row r="815" ht="12.75">
      <c r="A815" s="64" t="s">
        <v>309</v>
      </c>
    </row>
    <row r="816" spans="1:8" ht="12.75">
      <c r="A816" s="148" t="s">
        <v>143</v>
      </c>
      <c r="B816" s="111" t="s">
        <v>114</v>
      </c>
      <c r="C816" s="104" t="s">
        <v>113</v>
      </c>
      <c r="D816" s="111" t="s">
        <v>227</v>
      </c>
      <c r="E816" s="104" t="s">
        <v>145</v>
      </c>
      <c r="F816" s="111" t="s">
        <v>146</v>
      </c>
      <c r="G816" s="612" t="s">
        <v>124</v>
      </c>
      <c r="H816" s="613"/>
    </row>
    <row r="817" spans="1:8" ht="13.5" thickBot="1">
      <c r="A817" s="150" t="s">
        <v>148</v>
      </c>
      <c r="B817" s="109" t="s">
        <v>117</v>
      </c>
      <c r="C817" s="112" t="s">
        <v>116</v>
      </c>
      <c r="D817" s="109" t="s">
        <v>228</v>
      </c>
      <c r="E817" s="112" t="s">
        <v>121</v>
      </c>
      <c r="F817" s="109" t="s">
        <v>151</v>
      </c>
      <c r="G817" s="109">
        <v>0.05</v>
      </c>
      <c r="H817" s="110">
        <v>0.01</v>
      </c>
    </row>
    <row r="818" spans="1:8" ht="13.5" thickTop="1">
      <c r="A818" s="5" t="s">
        <v>50</v>
      </c>
      <c r="B818" s="26"/>
      <c r="C818" s="219"/>
      <c r="D818" s="220"/>
      <c r="E818" s="6"/>
      <c r="F818" s="28"/>
      <c r="G818" s="28"/>
      <c r="H818" s="38"/>
    </row>
    <row r="819" spans="1:8" ht="12.75">
      <c r="A819" s="5" t="s">
        <v>237</v>
      </c>
      <c r="B819" s="28"/>
      <c r="C819" s="219"/>
      <c r="D819" s="220"/>
      <c r="E819" s="6"/>
      <c r="F819" s="28"/>
      <c r="G819" s="28"/>
      <c r="H819" s="38"/>
    </row>
    <row r="820" spans="1:8" ht="12.75">
      <c r="A820" s="5" t="s">
        <v>238</v>
      </c>
      <c r="B820" s="28"/>
      <c r="C820" s="242"/>
      <c r="D820" s="220"/>
      <c r="E820" s="48"/>
      <c r="F820" s="217"/>
      <c r="G820" s="39"/>
      <c r="H820" s="80"/>
    </row>
    <row r="821" spans="1:8" ht="12.75">
      <c r="A821" s="5" t="s">
        <v>239</v>
      </c>
      <c r="B821" s="28"/>
      <c r="C821" s="243"/>
      <c r="D821" s="220"/>
      <c r="E821" s="48"/>
      <c r="F821" s="217"/>
      <c r="G821" s="218"/>
      <c r="H821" s="218"/>
    </row>
    <row r="822" spans="1:8" ht="12.75">
      <c r="A822" s="5" t="s">
        <v>240</v>
      </c>
      <c r="B822" s="28"/>
      <c r="C822" s="244"/>
      <c r="D822" s="220"/>
      <c r="E822" s="48"/>
      <c r="F822" s="217"/>
      <c r="G822" s="218"/>
      <c r="H822" s="218"/>
    </row>
    <row r="823" spans="1:8" ht="12.75">
      <c r="A823" s="5" t="s">
        <v>241</v>
      </c>
      <c r="B823" s="28"/>
      <c r="C823" s="245"/>
      <c r="D823" s="220"/>
      <c r="E823" s="48"/>
      <c r="F823" s="217"/>
      <c r="G823" s="218"/>
      <c r="H823" s="218"/>
    </row>
    <row r="824" spans="1:8" ht="12.75">
      <c r="A824" s="5" t="s">
        <v>307</v>
      </c>
      <c r="B824" s="26"/>
      <c r="C824" s="246"/>
      <c r="D824" s="220"/>
      <c r="E824" s="6"/>
      <c r="F824" s="217"/>
      <c r="G824" s="39"/>
      <c r="H824" s="80"/>
    </row>
    <row r="825" spans="1:8" ht="12.75">
      <c r="A825" s="9" t="s">
        <v>57</v>
      </c>
      <c r="B825" s="241"/>
      <c r="C825" s="221"/>
      <c r="D825" s="222"/>
      <c r="E825" s="10"/>
      <c r="F825" s="30"/>
      <c r="G825" s="30"/>
      <c r="H825" s="54"/>
    </row>
    <row r="826" ht="12.75">
      <c r="C826" s="213"/>
    </row>
    <row r="828" ht="12.75">
      <c r="A828" s="64" t="s">
        <v>310</v>
      </c>
    </row>
    <row r="829" spans="1:5" ht="13.5" thickBot="1">
      <c r="A829" s="295" t="s">
        <v>138</v>
      </c>
      <c r="B829" s="296" t="s">
        <v>312</v>
      </c>
      <c r="C829" s="297"/>
      <c r="D829" s="296"/>
      <c r="E829" s="298"/>
    </row>
    <row r="830" spans="1:5" ht="12.75">
      <c r="A830" s="294">
        <f>C$813</f>
        <v>0</v>
      </c>
      <c r="B830" s="11">
        <f>D$813</f>
        <v>0</v>
      </c>
      <c r="C830" s="43"/>
      <c r="D830" s="11"/>
      <c r="E830" s="44"/>
    </row>
    <row r="831" spans="1:7" ht="12.75">
      <c r="A831" s="114" t="s">
        <v>234</v>
      </c>
      <c r="B831" s="13" t="s">
        <v>229</v>
      </c>
      <c r="C831" s="13" t="s">
        <v>230</v>
      </c>
      <c r="D831" s="206" t="s">
        <v>231</v>
      </c>
      <c r="E831" s="207" t="s">
        <v>232</v>
      </c>
      <c r="F831" s="616" t="s">
        <v>245</v>
      </c>
      <c r="G831" s="618"/>
    </row>
    <row r="832" spans="1:7" ht="13.5" thickBot="1">
      <c r="A832" s="211" t="s">
        <v>233</v>
      </c>
      <c r="B832" s="209" t="s">
        <v>53</v>
      </c>
      <c r="C832" s="209" t="s">
        <v>54</v>
      </c>
      <c r="D832" s="210" t="s">
        <v>55</v>
      </c>
      <c r="E832" s="209" t="s">
        <v>56</v>
      </c>
      <c r="F832" s="209" t="s">
        <v>246</v>
      </c>
      <c r="G832" s="230" t="s">
        <v>247</v>
      </c>
    </row>
    <row r="833" spans="1:9" ht="13.5" thickTop="1">
      <c r="A833" s="202">
        <v>45</v>
      </c>
      <c r="B833" s="204"/>
      <c r="C833" s="204"/>
      <c r="D833" s="203"/>
      <c r="E833" s="204"/>
      <c r="F833" s="224"/>
      <c r="G833" s="229"/>
      <c r="I833" s="61"/>
    </row>
    <row r="834" spans="1:9" ht="12.75">
      <c r="A834" s="202">
        <v>60</v>
      </c>
      <c r="B834" s="204"/>
      <c r="C834" s="204"/>
      <c r="D834" s="203"/>
      <c r="E834" s="204"/>
      <c r="F834" s="224"/>
      <c r="G834" s="229"/>
      <c r="I834" s="61"/>
    </row>
    <row r="835" spans="1:9" ht="12.75">
      <c r="A835" s="202">
        <v>75</v>
      </c>
      <c r="B835" s="204"/>
      <c r="C835" s="204"/>
      <c r="D835" s="203"/>
      <c r="E835" s="204"/>
      <c r="F835" s="224"/>
      <c r="G835" s="229"/>
      <c r="I835" s="61"/>
    </row>
    <row r="836" spans="1:9" ht="12.75">
      <c r="A836" s="202">
        <f>A835+15</f>
        <v>90</v>
      </c>
      <c r="B836" s="204"/>
      <c r="C836" s="204"/>
      <c r="D836" s="203"/>
      <c r="E836" s="204"/>
      <c r="F836" s="224"/>
      <c r="G836" s="229"/>
      <c r="I836" s="61"/>
    </row>
    <row r="837" spans="1:9" ht="13.5" thickBot="1">
      <c r="A837" s="231">
        <f>A836+15</f>
        <v>105</v>
      </c>
      <c r="B837" s="232"/>
      <c r="C837" s="232"/>
      <c r="D837" s="233"/>
      <c r="E837" s="232"/>
      <c r="F837" s="234"/>
      <c r="G837" s="235"/>
      <c r="I837" s="61"/>
    </row>
    <row r="860" ht="12.75">
      <c r="A860" s="64" t="s">
        <v>311</v>
      </c>
    </row>
    <row r="861" spans="1:5" ht="13.5" thickBot="1">
      <c r="A861" s="295" t="s">
        <v>138</v>
      </c>
      <c r="B861" s="296"/>
      <c r="C861" s="297" t="s">
        <v>313</v>
      </c>
      <c r="D861" s="296"/>
      <c r="E861" s="298"/>
    </row>
    <row r="862" spans="1:5" ht="12.75">
      <c r="A862" s="294">
        <f>$C$813</f>
        <v>0</v>
      </c>
      <c r="B862" s="11"/>
      <c r="C862" s="43">
        <f>E813</f>
        <v>0</v>
      </c>
      <c r="D862" s="11"/>
      <c r="E862" s="44"/>
    </row>
    <row r="863" spans="1:7" ht="12.75">
      <c r="A863" s="114" t="s">
        <v>234</v>
      </c>
      <c r="B863" s="13" t="s">
        <v>229</v>
      </c>
      <c r="C863" s="13" t="s">
        <v>230</v>
      </c>
      <c r="D863" s="206" t="s">
        <v>231</v>
      </c>
      <c r="E863" s="207" t="s">
        <v>232</v>
      </c>
      <c r="F863" s="619" t="s">
        <v>245</v>
      </c>
      <c r="G863" s="618"/>
    </row>
    <row r="864" spans="1:7" ht="13.5" thickBot="1">
      <c r="A864" s="211" t="s">
        <v>233</v>
      </c>
      <c r="B864" s="209" t="s">
        <v>53</v>
      </c>
      <c r="C864" s="209" t="s">
        <v>54</v>
      </c>
      <c r="D864" s="210" t="s">
        <v>55</v>
      </c>
      <c r="E864" s="211" t="s">
        <v>56</v>
      </c>
      <c r="F864" s="230" t="s">
        <v>246</v>
      </c>
      <c r="G864" s="238" t="s">
        <v>247</v>
      </c>
    </row>
    <row r="865" spans="1:7" ht="13.5" thickTop="1">
      <c r="A865" s="202">
        <v>45</v>
      </c>
      <c r="B865" s="204"/>
      <c r="C865" s="204"/>
      <c r="D865" s="203"/>
      <c r="E865" s="202"/>
      <c r="F865" s="224"/>
      <c r="G865" s="236"/>
    </row>
    <row r="866" spans="1:7" ht="12.75">
      <c r="A866" s="202">
        <v>60</v>
      </c>
      <c r="B866" s="204"/>
      <c r="C866" s="204"/>
      <c r="D866" s="203"/>
      <c r="E866" s="202"/>
      <c r="F866" s="224"/>
      <c r="G866" s="236"/>
    </row>
    <row r="867" spans="1:7" ht="12.75">
      <c r="A867" s="202">
        <v>75</v>
      </c>
      <c r="B867" s="204"/>
      <c r="C867" s="204"/>
      <c r="D867" s="203"/>
      <c r="E867" s="202"/>
      <c r="F867" s="224"/>
      <c r="G867" s="236"/>
    </row>
    <row r="868" spans="1:7" ht="12.75">
      <c r="A868" s="202">
        <f>A867+15</f>
        <v>90</v>
      </c>
      <c r="B868" s="204"/>
      <c r="C868" s="204"/>
      <c r="D868" s="203"/>
      <c r="E868" s="202"/>
      <c r="F868" s="224"/>
      <c r="G868" s="236"/>
    </row>
    <row r="869" spans="1:7" ht="13.5" thickBot="1">
      <c r="A869" s="231">
        <f>A868+15</f>
        <v>105</v>
      </c>
      <c r="B869" s="232"/>
      <c r="C869" s="232"/>
      <c r="D869" s="233"/>
      <c r="E869" s="231"/>
      <c r="F869" s="234"/>
      <c r="G869" s="239"/>
    </row>
    <row r="889" ht="12.75">
      <c r="A889" s="64" t="s">
        <v>315</v>
      </c>
    </row>
    <row r="890" spans="1:5" ht="13.5" thickBot="1">
      <c r="A890" s="295" t="s">
        <v>138</v>
      </c>
      <c r="B890" s="296"/>
      <c r="C890" s="297"/>
      <c r="D890" s="296" t="s">
        <v>314</v>
      </c>
      <c r="E890" s="298"/>
    </row>
    <row r="891" spans="1:5" ht="12.75">
      <c r="A891" s="294">
        <f>$C$813</f>
        <v>0</v>
      </c>
      <c r="B891" s="11"/>
      <c r="C891" s="43"/>
      <c r="D891" s="11">
        <f>F809</f>
        <v>0</v>
      </c>
      <c r="E891" s="44"/>
    </row>
    <row r="892" spans="1:7" ht="12.75">
      <c r="A892" s="114" t="s">
        <v>234</v>
      </c>
      <c r="B892" s="13" t="s">
        <v>229</v>
      </c>
      <c r="C892" s="13" t="s">
        <v>230</v>
      </c>
      <c r="D892" s="206" t="s">
        <v>231</v>
      </c>
      <c r="E892" s="207" t="s">
        <v>232</v>
      </c>
      <c r="F892" s="616" t="s">
        <v>245</v>
      </c>
      <c r="G892" s="618"/>
    </row>
    <row r="893" spans="1:7" ht="13.5" thickBot="1">
      <c r="A893" s="211" t="s">
        <v>233</v>
      </c>
      <c r="B893" s="209" t="s">
        <v>53</v>
      </c>
      <c r="C893" s="209" t="s">
        <v>54</v>
      </c>
      <c r="D893" s="210" t="s">
        <v>55</v>
      </c>
      <c r="E893" s="211" t="s">
        <v>56</v>
      </c>
      <c r="F893" s="230" t="s">
        <v>246</v>
      </c>
      <c r="G893" s="238" t="s">
        <v>247</v>
      </c>
    </row>
    <row r="894" spans="1:8" ht="13.5" thickTop="1">
      <c r="A894" s="202">
        <v>45</v>
      </c>
      <c r="B894" s="204"/>
      <c r="C894" s="204"/>
      <c r="D894" s="203"/>
      <c r="E894" s="202"/>
      <c r="F894" s="224"/>
      <c r="G894" s="236"/>
      <c r="H894" s="435"/>
    </row>
    <row r="895" spans="1:8" ht="12.75">
      <c r="A895" s="202">
        <v>60</v>
      </c>
      <c r="B895" s="204"/>
      <c r="C895" s="204"/>
      <c r="D895" s="203"/>
      <c r="E895" s="202"/>
      <c r="F895" s="224"/>
      <c r="G895" s="236"/>
      <c r="H895" s="435"/>
    </row>
    <row r="896" spans="1:8" ht="12.75">
      <c r="A896" s="202">
        <v>75</v>
      </c>
      <c r="B896" s="204"/>
      <c r="C896" s="204"/>
      <c r="D896" s="203"/>
      <c r="E896" s="202"/>
      <c r="F896" s="224"/>
      <c r="G896" s="236"/>
      <c r="H896" s="435"/>
    </row>
    <row r="897" spans="1:8" ht="12.75">
      <c r="A897" s="202">
        <f>A896+15</f>
        <v>90</v>
      </c>
      <c r="B897" s="204"/>
      <c r="C897" s="204"/>
      <c r="D897" s="203"/>
      <c r="E897" s="202"/>
      <c r="F897" s="224"/>
      <c r="G897" s="236"/>
      <c r="H897" s="435"/>
    </row>
    <row r="898" spans="1:8" ht="12.75">
      <c r="A898" s="212">
        <f>A897+15</f>
        <v>105</v>
      </c>
      <c r="B898" s="208"/>
      <c r="C898" s="208"/>
      <c r="D898" s="205"/>
      <c r="E898" s="212"/>
      <c r="F898" s="225"/>
      <c r="G898" s="237"/>
      <c r="H898" s="435"/>
    </row>
    <row r="918" ht="12.75">
      <c r="A918" s="64" t="s">
        <v>317</v>
      </c>
    </row>
    <row r="919" spans="1:5" ht="13.5" thickBot="1">
      <c r="A919" s="295" t="s">
        <v>138</v>
      </c>
      <c r="B919" s="296"/>
      <c r="C919" s="297"/>
      <c r="D919" s="296"/>
      <c r="E919" s="298" t="s">
        <v>316</v>
      </c>
    </row>
    <row r="920" spans="1:5" ht="12.75">
      <c r="A920" s="294">
        <f>$C$813</f>
        <v>0</v>
      </c>
      <c r="B920" s="11"/>
      <c r="C920" s="43"/>
      <c r="D920" s="11"/>
      <c r="E920" s="44">
        <f>G809</f>
        <v>0</v>
      </c>
    </row>
    <row r="921" spans="1:7" ht="12.75">
      <c r="A921" s="114" t="s">
        <v>234</v>
      </c>
      <c r="B921" s="13" t="s">
        <v>229</v>
      </c>
      <c r="C921" s="13" t="s">
        <v>230</v>
      </c>
      <c r="D921" s="206" t="s">
        <v>231</v>
      </c>
      <c r="E921" s="207" t="s">
        <v>232</v>
      </c>
      <c r="F921" s="616" t="s">
        <v>245</v>
      </c>
      <c r="G921" s="618"/>
    </row>
    <row r="922" spans="1:7" ht="13.5" thickBot="1">
      <c r="A922" s="211" t="s">
        <v>233</v>
      </c>
      <c r="B922" s="209" t="s">
        <v>53</v>
      </c>
      <c r="C922" s="209" t="s">
        <v>54</v>
      </c>
      <c r="D922" s="210" t="s">
        <v>55</v>
      </c>
      <c r="E922" s="211" t="s">
        <v>56</v>
      </c>
      <c r="F922" s="230" t="s">
        <v>246</v>
      </c>
      <c r="G922" s="238" t="s">
        <v>247</v>
      </c>
    </row>
    <row r="923" spans="1:7" ht="13.5" thickTop="1">
      <c r="A923" s="202">
        <v>45</v>
      </c>
      <c r="B923" s="204"/>
      <c r="C923" s="204"/>
      <c r="D923" s="203"/>
      <c r="E923" s="204"/>
      <c r="F923" s="224"/>
      <c r="G923" s="236"/>
    </row>
    <row r="924" spans="1:7" ht="12.75">
      <c r="A924" s="202">
        <v>60</v>
      </c>
      <c r="B924" s="204"/>
      <c r="C924" s="204"/>
      <c r="D924" s="203"/>
      <c r="E924" s="204"/>
      <c r="F924" s="224"/>
      <c r="G924" s="236"/>
    </row>
    <row r="925" spans="1:7" ht="12.75">
      <c r="A925" s="202">
        <v>75</v>
      </c>
      <c r="B925" s="204"/>
      <c r="C925" s="204"/>
      <c r="D925" s="203"/>
      <c r="E925" s="204"/>
      <c r="F925" s="224"/>
      <c r="G925" s="236"/>
    </row>
    <row r="926" spans="1:7" ht="12.75">
      <c r="A926" s="202">
        <f>A925+15</f>
        <v>90</v>
      </c>
      <c r="B926" s="204"/>
      <c r="C926" s="204"/>
      <c r="D926" s="203"/>
      <c r="E926" s="204"/>
      <c r="F926" s="224"/>
      <c r="G926" s="236"/>
    </row>
    <row r="927" spans="1:7" ht="12.75">
      <c r="A927" s="212">
        <f>A926+15</f>
        <v>105</v>
      </c>
      <c r="B927" s="208"/>
      <c r="C927" s="208"/>
      <c r="D927" s="205"/>
      <c r="E927" s="208"/>
      <c r="F927" s="225"/>
      <c r="G927" s="237"/>
    </row>
    <row r="945" spans="1:3" ht="12.75">
      <c r="A945" s="64" t="s">
        <v>318</v>
      </c>
      <c r="C945" s="213"/>
    </row>
    <row r="946" spans="1:5" ht="13.5" thickBot="1">
      <c r="A946" s="295" t="s">
        <v>138</v>
      </c>
      <c r="B946" s="296" t="s">
        <v>312</v>
      </c>
      <c r="C946" s="297" t="s">
        <v>313</v>
      </c>
      <c r="D946" s="296" t="s">
        <v>314</v>
      </c>
      <c r="E946" s="298" t="s">
        <v>316</v>
      </c>
    </row>
    <row r="947" spans="1:5" ht="12.75">
      <c r="A947" s="294"/>
      <c r="B947" s="11"/>
      <c r="C947" s="43"/>
      <c r="D947" s="11"/>
      <c r="E947" s="44"/>
    </row>
    <row r="948" spans="1:7" ht="12.75">
      <c r="A948" s="114" t="s">
        <v>234</v>
      </c>
      <c r="B948" s="13" t="s">
        <v>229</v>
      </c>
      <c r="C948" s="13" t="s">
        <v>230</v>
      </c>
      <c r="D948" s="206" t="s">
        <v>231</v>
      </c>
      <c r="E948" s="207" t="s">
        <v>232</v>
      </c>
      <c r="F948" s="616" t="s">
        <v>245</v>
      </c>
      <c r="G948" s="618"/>
    </row>
    <row r="949" spans="1:7" ht="13.5" thickBot="1">
      <c r="A949" s="211" t="s">
        <v>233</v>
      </c>
      <c r="B949" s="209" t="s">
        <v>53</v>
      </c>
      <c r="C949" s="209" t="s">
        <v>54</v>
      </c>
      <c r="D949" s="210" t="s">
        <v>55</v>
      </c>
      <c r="E949" s="209" t="s">
        <v>56</v>
      </c>
      <c r="F949" s="209" t="s">
        <v>246</v>
      </c>
      <c r="G949" s="230" t="s">
        <v>247</v>
      </c>
    </row>
    <row r="950" spans="1:7" ht="13.5" thickTop="1">
      <c r="A950" s="202">
        <v>45</v>
      </c>
      <c r="B950" s="204"/>
      <c r="C950" s="204"/>
      <c r="D950" s="203"/>
      <c r="E950" s="204"/>
      <c r="F950" s="224"/>
      <c r="G950" s="249"/>
    </row>
    <row r="951" spans="1:7" ht="12.75">
      <c r="A951" s="202">
        <v>60</v>
      </c>
      <c r="B951" s="204"/>
      <c r="C951" s="204"/>
      <c r="D951" s="203"/>
      <c r="E951" s="204"/>
      <c r="F951" s="224"/>
      <c r="G951" s="249"/>
    </row>
    <row r="952" spans="1:7" ht="12.75">
      <c r="A952" s="202">
        <v>75</v>
      </c>
      <c r="B952" s="204"/>
      <c r="C952" s="204"/>
      <c r="D952" s="203"/>
      <c r="E952" s="204"/>
      <c r="F952" s="224"/>
      <c r="G952" s="249"/>
    </row>
    <row r="953" spans="1:7" ht="12.75">
      <c r="A953" s="202">
        <f>A952+15</f>
        <v>90</v>
      </c>
      <c r="B953" s="204"/>
      <c r="C953" s="204"/>
      <c r="D953" s="203"/>
      <c r="E953" s="204"/>
      <c r="F953" s="224"/>
      <c r="G953" s="249"/>
    </row>
    <row r="954" spans="1:7" ht="12.75">
      <c r="A954" s="212">
        <f>A953+15</f>
        <v>105</v>
      </c>
      <c r="B954" s="208"/>
      <c r="C954" s="208"/>
      <c r="D954" s="205"/>
      <c r="E954" s="208"/>
      <c r="F954" s="225"/>
      <c r="G954" s="250"/>
    </row>
    <row r="955" spans="1:7" ht="12.75">
      <c r="A955" s="203"/>
      <c r="B955" s="203"/>
      <c r="C955" s="203"/>
      <c r="D955" s="203"/>
      <c r="E955" s="203"/>
      <c r="F955" s="247"/>
      <c r="G955" s="248"/>
    </row>
    <row r="956" spans="1:7" ht="12.75">
      <c r="A956" s="203"/>
      <c r="B956" s="203"/>
      <c r="C956" s="203"/>
      <c r="D956" s="203"/>
      <c r="E956" s="203"/>
      <c r="F956" s="247"/>
      <c r="G956" s="248"/>
    </row>
    <row r="957" ht="12.75">
      <c r="C957" s="213"/>
    </row>
    <row r="958" spans="3:10" ht="12.75">
      <c r="C958" s="213"/>
      <c r="J958" s="226"/>
    </row>
    <row r="959" spans="3:10" ht="12.75">
      <c r="C959" s="213"/>
      <c r="J959" s="226"/>
    </row>
    <row r="960" spans="3:10" ht="12.75">
      <c r="C960" s="213"/>
      <c r="J960" s="226"/>
    </row>
    <row r="961" spans="3:10" ht="12.75">
      <c r="C961" s="213"/>
      <c r="J961" s="226"/>
    </row>
    <row r="962" spans="3:10" ht="12.75">
      <c r="C962" s="213"/>
      <c r="J962" s="226"/>
    </row>
    <row r="963" ht="12.75">
      <c r="C963" s="213"/>
    </row>
    <row r="964" ht="12.75">
      <c r="C964" s="213"/>
    </row>
    <row r="965" ht="12.75">
      <c r="C965" s="213"/>
    </row>
    <row r="966" ht="12.75">
      <c r="C966" s="213"/>
    </row>
    <row r="967" ht="12.75">
      <c r="C967" s="213"/>
    </row>
    <row r="968" ht="12.75">
      <c r="C968" s="213"/>
    </row>
    <row r="969" ht="12.75">
      <c r="C969" s="213"/>
    </row>
    <row r="970" ht="12.75">
      <c r="C970" s="213"/>
    </row>
    <row r="971" ht="12.75">
      <c r="C971" s="213"/>
    </row>
    <row r="972" ht="12.75">
      <c r="C972" s="213"/>
    </row>
    <row r="973" ht="12.75">
      <c r="C973" s="213"/>
    </row>
    <row r="974" ht="12.75">
      <c r="C974" s="213"/>
    </row>
    <row r="975" ht="12.75">
      <c r="C975" s="213"/>
    </row>
    <row r="976" spans="2:3" ht="12.75">
      <c r="B976" s="64" t="s">
        <v>319</v>
      </c>
      <c r="C976" s="213"/>
    </row>
    <row r="977" ht="12.75">
      <c r="A977" s="64" t="s">
        <v>320</v>
      </c>
    </row>
    <row r="978" spans="1:8" ht="12.75">
      <c r="A978" s="436"/>
      <c r="B978" s="436"/>
      <c r="C978" s="436"/>
      <c r="D978" s="436"/>
      <c r="E978" s="436"/>
      <c r="F978" s="436"/>
      <c r="G978" s="436"/>
      <c r="H978" s="436"/>
    </row>
    <row r="979" spans="1:8" ht="13.5" thickBot="1">
      <c r="A979" s="436"/>
      <c r="B979" s="436"/>
      <c r="C979" s="436"/>
      <c r="D979" s="436"/>
      <c r="E979" s="436"/>
      <c r="F979" s="436"/>
      <c r="G979" s="436"/>
      <c r="H979" s="436"/>
    </row>
    <row r="980" spans="1:8" ht="12.75">
      <c r="A980" s="437"/>
      <c r="B980" s="437"/>
      <c r="C980" s="436"/>
      <c r="D980" s="436"/>
      <c r="E980" s="436"/>
      <c r="F980" s="436"/>
      <c r="G980" s="436"/>
      <c r="H980" s="436"/>
    </row>
    <row r="981" spans="1:8" ht="12.75">
      <c r="A981" s="438"/>
      <c r="B981" s="439"/>
      <c r="C981" s="436"/>
      <c r="D981" s="436"/>
      <c r="E981" s="436"/>
      <c r="F981" s="436"/>
      <c r="G981" s="436"/>
      <c r="H981" s="436"/>
    </row>
    <row r="982" spans="1:8" ht="12.75">
      <c r="A982" s="438"/>
      <c r="B982" s="439"/>
      <c r="C982" s="436"/>
      <c r="D982" s="436"/>
      <c r="E982" s="436"/>
      <c r="F982" s="436"/>
      <c r="G982" s="436"/>
      <c r="H982" s="436"/>
    </row>
    <row r="983" spans="1:8" ht="12.75">
      <c r="A983" s="438"/>
      <c r="B983" s="439"/>
      <c r="C983" s="436"/>
      <c r="D983" s="436"/>
      <c r="E983" s="436"/>
      <c r="F983" s="436"/>
      <c r="G983" s="436"/>
      <c r="H983" s="436"/>
    </row>
    <row r="984" spans="1:8" ht="12.75">
      <c r="A984" s="438"/>
      <c r="B984" s="439"/>
      <c r="C984" s="436"/>
      <c r="D984" s="436"/>
      <c r="E984" s="436"/>
      <c r="F984" s="436"/>
      <c r="G984" s="436"/>
      <c r="H984" s="436"/>
    </row>
    <row r="985" spans="1:8" ht="13.5" thickBot="1">
      <c r="A985" s="440"/>
      <c r="B985" s="440"/>
      <c r="C985" s="436"/>
      <c r="D985" s="436"/>
      <c r="E985" s="436"/>
      <c r="F985" s="436"/>
      <c r="G985" s="436"/>
      <c r="H985" s="436"/>
    </row>
    <row r="986" spans="1:8" ht="12.75">
      <c r="A986" s="436"/>
      <c r="B986" s="436"/>
      <c r="C986" s="436"/>
      <c r="D986" s="436"/>
      <c r="E986" s="436"/>
      <c r="F986" s="436"/>
      <c r="G986" s="436"/>
      <c r="H986" s="436"/>
    </row>
    <row r="987" spans="1:8" ht="12.75">
      <c r="A987" s="436"/>
      <c r="B987" s="436"/>
      <c r="C987" s="436"/>
      <c r="D987" s="436"/>
      <c r="E987" s="436"/>
      <c r="F987" s="436"/>
      <c r="G987" s="436"/>
      <c r="H987" s="436"/>
    </row>
    <row r="988" spans="1:8" ht="12.75">
      <c r="A988" s="441"/>
      <c r="B988" s="442"/>
      <c r="C988" s="443"/>
      <c r="D988" s="442"/>
      <c r="E988" s="443"/>
      <c r="F988" s="442"/>
      <c r="G988" s="620"/>
      <c r="H988" s="621"/>
    </row>
    <row r="989" spans="1:8" ht="13.5" thickBot="1">
      <c r="A989" s="444"/>
      <c r="B989" s="445"/>
      <c r="C989" s="446"/>
      <c r="D989" s="445"/>
      <c r="E989" s="446"/>
      <c r="F989" s="445"/>
      <c r="G989" s="445"/>
      <c r="H989" s="447"/>
    </row>
    <row r="990" spans="1:8" ht="13.5" thickTop="1">
      <c r="A990" s="438"/>
      <c r="B990" s="438"/>
      <c r="C990" s="448"/>
      <c r="D990" s="448"/>
      <c r="E990" s="448"/>
      <c r="F990" s="438"/>
      <c r="G990" s="449"/>
      <c r="H990" s="449"/>
    </row>
    <row r="991" spans="1:8" ht="12.75">
      <c r="A991" s="438"/>
      <c r="B991" s="438"/>
      <c r="C991" s="448"/>
      <c r="D991" s="448"/>
      <c r="E991" s="448"/>
      <c r="F991" s="438"/>
      <c r="G991" s="436"/>
      <c r="H991" s="436"/>
    </row>
    <row r="992" spans="1:8" ht="13.5" thickBot="1">
      <c r="A992" s="440"/>
      <c r="B992" s="440"/>
      <c r="C992" s="450"/>
      <c r="D992" s="450"/>
      <c r="E992" s="450"/>
      <c r="F992" s="440"/>
      <c r="G992" s="436"/>
      <c r="H992" s="436"/>
    </row>
    <row r="993" spans="1:8" ht="13.5" thickBot="1">
      <c r="A993" s="436"/>
      <c r="B993" s="436"/>
      <c r="C993" s="436"/>
      <c r="D993" s="436"/>
      <c r="E993" s="436"/>
      <c r="F993" s="436"/>
      <c r="G993" s="436"/>
      <c r="H993" s="436"/>
    </row>
    <row r="994" spans="1:8" ht="12.75">
      <c r="A994" s="451"/>
      <c r="B994" s="451"/>
      <c r="C994" s="451"/>
      <c r="D994" s="451"/>
      <c r="E994" s="451"/>
      <c r="F994" s="451"/>
      <c r="G994" s="451"/>
      <c r="H994" s="436"/>
    </row>
    <row r="995" spans="1:9" ht="12.75">
      <c r="A995" s="438"/>
      <c r="B995" s="452"/>
      <c r="C995" s="452"/>
      <c r="D995" s="452"/>
      <c r="E995" s="452"/>
      <c r="F995" s="452"/>
      <c r="G995" s="438"/>
      <c r="H995" s="453"/>
      <c r="I995" s="7"/>
    </row>
    <row r="996" spans="1:9" ht="12.75">
      <c r="A996" s="438"/>
      <c r="B996" s="452"/>
      <c r="C996" s="452"/>
      <c r="D996" s="452"/>
      <c r="E996" s="452"/>
      <c r="F996" s="452"/>
      <c r="G996" s="438"/>
      <c r="H996" s="453"/>
      <c r="I996" s="7"/>
    </row>
    <row r="997" spans="1:9" ht="12.75">
      <c r="A997" s="438"/>
      <c r="B997" s="452"/>
      <c r="C997" s="452"/>
      <c r="D997" s="452"/>
      <c r="E997" s="452"/>
      <c r="F997" s="452"/>
      <c r="G997" s="438"/>
      <c r="H997" s="453"/>
      <c r="I997" s="7"/>
    </row>
    <row r="998" spans="1:9" ht="12.75">
      <c r="A998" s="438"/>
      <c r="B998" s="452"/>
      <c r="C998" s="452"/>
      <c r="D998" s="452"/>
      <c r="E998" s="452"/>
      <c r="F998" s="452"/>
      <c r="G998" s="438"/>
      <c r="H998" s="453"/>
      <c r="I998" s="7"/>
    </row>
    <row r="999" spans="1:9" ht="13.5" thickBot="1">
      <c r="A999" s="440"/>
      <c r="B999" s="454"/>
      <c r="C999" s="454"/>
      <c r="D999" s="454"/>
      <c r="E999" s="454"/>
      <c r="F999" s="454"/>
      <c r="G999" s="440"/>
      <c r="H999" s="453"/>
      <c r="I999" s="7"/>
    </row>
    <row r="1004" spans="1:7" ht="12.75">
      <c r="A1004" s="12" t="s">
        <v>38</v>
      </c>
      <c r="B1004" s="37" t="s">
        <v>39</v>
      </c>
      <c r="C1004" s="45" t="s">
        <v>40</v>
      </c>
      <c r="D1004" s="616" t="s">
        <v>214</v>
      </c>
      <c r="E1004" s="617"/>
      <c r="F1004" s="617"/>
      <c r="G1004" s="618"/>
    </row>
    <row r="1005" spans="1:7" ht="13.5" thickBot="1">
      <c r="A1005" s="15" t="s">
        <v>47</v>
      </c>
      <c r="B1005" s="16" t="s">
        <v>48</v>
      </c>
      <c r="C1005" s="47" t="s">
        <v>49</v>
      </c>
      <c r="D1005" s="196" t="s">
        <v>53</v>
      </c>
      <c r="E1005" s="196" t="s">
        <v>54</v>
      </c>
      <c r="F1005" s="197" t="s">
        <v>55</v>
      </c>
      <c r="G1005" s="196" t="s">
        <v>56</v>
      </c>
    </row>
    <row r="1006" spans="1:7" ht="13.5" thickTop="1">
      <c r="A1006" s="5">
        <v>1</v>
      </c>
      <c r="B1006" s="28">
        <v>45</v>
      </c>
      <c r="C1006" s="50"/>
      <c r="D1006" s="198"/>
      <c r="E1006" s="198"/>
      <c r="F1006" s="199"/>
      <c r="G1006" s="198"/>
    </row>
    <row r="1007" spans="1:7" ht="12.75">
      <c r="A1007" s="5">
        <v>2</v>
      </c>
      <c r="B1007" s="28">
        <v>45</v>
      </c>
      <c r="C1007" s="50"/>
      <c r="D1007" s="198"/>
      <c r="E1007" s="198"/>
      <c r="F1007" s="199"/>
      <c r="G1007" s="198"/>
    </row>
    <row r="1008" spans="1:7" ht="12.75">
      <c r="A1008" s="5">
        <v>3</v>
      </c>
      <c r="B1008" s="28">
        <v>45</v>
      </c>
      <c r="C1008" s="50"/>
      <c r="D1008" s="198"/>
      <c r="E1008" s="198"/>
      <c r="F1008" s="199"/>
      <c r="G1008" s="198"/>
    </row>
    <row r="1009" spans="1:7" ht="12.75">
      <c r="A1009" s="5">
        <v>4</v>
      </c>
      <c r="B1009" s="28">
        <v>45</v>
      </c>
      <c r="C1009" s="50"/>
      <c r="D1009" s="198"/>
      <c r="E1009" s="198"/>
      <c r="F1009" s="199"/>
      <c r="G1009" s="198"/>
    </row>
    <row r="1010" spans="1:7" ht="12.75">
      <c r="A1010" s="5">
        <v>5</v>
      </c>
      <c r="B1010" s="28">
        <v>45</v>
      </c>
      <c r="C1010" s="50"/>
      <c r="D1010" s="198"/>
      <c r="E1010" s="198"/>
      <c r="F1010" s="199"/>
      <c r="G1010" s="198"/>
    </row>
    <row r="1011" spans="1:7" ht="12.75">
      <c r="A1011" s="5">
        <v>6</v>
      </c>
      <c r="B1011" s="28">
        <v>45</v>
      </c>
      <c r="C1011" s="50"/>
      <c r="D1011" s="198"/>
      <c r="E1011" s="198"/>
      <c r="F1011" s="199"/>
      <c r="G1011" s="198"/>
    </row>
    <row r="1012" spans="1:7" ht="12.75">
      <c r="A1012" s="5">
        <v>7</v>
      </c>
      <c r="B1012" s="28">
        <v>45</v>
      </c>
      <c r="C1012" s="50"/>
      <c r="D1012" s="198"/>
      <c r="E1012" s="198"/>
      <c r="F1012" s="199"/>
      <c r="G1012" s="198"/>
    </row>
    <row r="1013" spans="1:7" ht="12.75">
      <c r="A1013" s="5">
        <v>8</v>
      </c>
      <c r="B1013" s="28">
        <v>45</v>
      </c>
      <c r="C1013" s="50"/>
      <c r="D1013" s="198"/>
      <c r="E1013" s="198"/>
      <c r="F1013" s="199"/>
      <c r="G1013" s="198"/>
    </row>
    <row r="1014" spans="1:7" ht="12.75">
      <c r="A1014" s="5">
        <v>9</v>
      </c>
      <c r="B1014" s="28">
        <v>45</v>
      </c>
      <c r="C1014" s="50"/>
      <c r="D1014" s="198"/>
      <c r="E1014" s="198"/>
      <c r="F1014" s="199"/>
      <c r="G1014" s="198"/>
    </row>
    <row r="1015" spans="1:7" ht="12.75">
      <c r="A1015" s="5">
        <v>10</v>
      </c>
      <c r="B1015" s="28">
        <v>45</v>
      </c>
      <c r="C1015" s="50"/>
      <c r="D1015" s="198"/>
      <c r="E1015" s="198"/>
      <c r="F1015" s="199"/>
      <c r="G1015" s="198"/>
    </row>
    <row r="1016" spans="1:7" ht="12.75">
      <c r="A1016" s="5">
        <v>11</v>
      </c>
      <c r="B1016" s="28">
        <v>45</v>
      </c>
      <c r="C1016" s="50"/>
      <c r="D1016" s="198"/>
      <c r="E1016" s="198"/>
      <c r="F1016" s="199"/>
      <c r="G1016" s="198"/>
    </row>
    <row r="1017" spans="1:7" ht="12.75">
      <c r="A1017" s="5">
        <v>12</v>
      </c>
      <c r="B1017" s="28">
        <v>45</v>
      </c>
      <c r="C1017" s="50"/>
      <c r="D1017" s="198"/>
      <c r="E1017" s="198"/>
      <c r="F1017" s="199"/>
      <c r="G1017" s="198"/>
    </row>
    <row r="1018" spans="1:7" ht="12.75">
      <c r="A1018" s="5">
        <v>1</v>
      </c>
      <c r="B1018" s="28">
        <v>60</v>
      </c>
      <c r="C1018" s="50"/>
      <c r="D1018" s="198"/>
      <c r="E1018" s="198"/>
      <c r="F1018" s="199"/>
      <c r="G1018" s="198"/>
    </row>
    <row r="1019" spans="1:7" ht="12.75">
      <c r="A1019" s="5">
        <v>2</v>
      </c>
      <c r="B1019" s="28">
        <v>60</v>
      </c>
      <c r="C1019" s="50"/>
      <c r="D1019" s="198"/>
      <c r="E1019" s="198"/>
      <c r="F1019" s="199"/>
      <c r="G1019" s="198"/>
    </row>
    <row r="1020" spans="1:7" ht="12.75">
      <c r="A1020" s="5">
        <v>3</v>
      </c>
      <c r="B1020" s="28">
        <v>60</v>
      </c>
      <c r="C1020" s="50"/>
      <c r="D1020" s="198"/>
      <c r="E1020" s="198"/>
      <c r="F1020" s="199"/>
      <c r="G1020" s="198"/>
    </row>
    <row r="1021" spans="1:7" ht="12.75">
      <c r="A1021" s="5">
        <v>4</v>
      </c>
      <c r="B1021" s="28">
        <v>60</v>
      </c>
      <c r="C1021" s="50"/>
      <c r="D1021" s="198"/>
      <c r="E1021" s="198"/>
      <c r="F1021" s="199"/>
      <c r="G1021" s="198"/>
    </row>
    <row r="1022" spans="1:7" ht="12.75">
      <c r="A1022" s="5">
        <v>5</v>
      </c>
      <c r="B1022" s="28">
        <v>60</v>
      </c>
      <c r="C1022" s="50"/>
      <c r="D1022" s="198"/>
      <c r="E1022" s="198"/>
      <c r="F1022" s="199"/>
      <c r="G1022" s="198"/>
    </row>
    <row r="1023" spans="1:7" ht="12.75">
      <c r="A1023" s="5">
        <v>6</v>
      </c>
      <c r="B1023" s="28">
        <v>60</v>
      </c>
      <c r="C1023" s="50"/>
      <c r="D1023" s="198"/>
      <c r="E1023" s="198"/>
      <c r="F1023" s="199"/>
      <c r="G1023" s="198"/>
    </row>
    <row r="1024" spans="1:7" ht="12.75">
      <c r="A1024" s="5">
        <v>7</v>
      </c>
      <c r="B1024" s="28">
        <v>60</v>
      </c>
      <c r="C1024" s="50"/>
      <c r="D1024" s="198"/>
      <c r="E1024" s="198"/>
      <c r="F1024" s="199"/>
      <c r="G1024" s="198"/>
    </row>
    <row r="1025" spans="1:7" ht="12.75">
      <c r="A1025" s="5">
        <v>8</v>
      </c>
      <c r="B1025" s="28">
        <v>60</v>
      </c>
      <c r="C1025" s="50"/>
      <c r="D1025" s="198"/>
      <c r="E1025" s="198"/>
      <c r="F1025" s="199"/>
      <c r="G1025" s="198"/>
    </row>
    <row r="1026" spans="1:7" ht="12.75">
      <c r="A1026" s="5">
        <v>9</v>
      </c>
      <c r="B1026" s="28">
        <v>60</v>
      </c>
      <c r="C1026" s="50"/>
      <c r="D1026" s="198"/>
      <c r="E1026" s="198"/>
      <c r="F1026" s="199"/>
      <c r="G1026" s="198"/>
    </row>
    <row r="1027" spans="1:7" ht="12.75">
      <c r="A1027" s="5">
        <v>10</v>
      </c>
      <c r="B1027" s="28">
        <v>60</v>
      </c>
      <c r="C1027" s="50"/>
      <c r="D1027" s="198"/>
      <c r="E1027" s="198"/>
      <c r="F1027" s="199"/>
      <c r="G1027" s="198"/>
    </row>
    <row r="1028" spans="1:7" ht="12.75">
      <c r="A1028" s="5">
        <v>11</v>
      </c>
      <c r="B1028" s="28">
        <v>60</v>
      </c>
      <c r="C1028" s="50"/>
      <c r="D1028" s="198"/>
      <c r="E1028" s="198"/>
      <c r="F1028" s="199"/>
      <c r="G1028" s="198"/>
    </row>
    <row r="1029" spans="1:7" ht="12.75">
      <c r="A1029" s="5">
        <v>12</v>
      </c>
      <c r="B1029" s="28">
        <v>60</v>
      </c>
      <c r="C1029" s="50"/>
      <c r="D1029" s="198"/>
      <c r="E1029" s="198"/>
      <c r="F1029" s="199"/>
      <c r="G1029" s="198"/>
    </row>
    <row r="1030" spans="1:7" ht="12.75">
      <c r="A1030" s="5">
        <v>1</v>
      </c>
      <c r="B1030" s="28">
        <v>75</v>
      </c>
      <c r="C1030" s="50"/>
      <c r="D1030" s="198"/>
      <c r="E1030" s="198"/>
      <c r="F1030" s="199"/>
      <c r="G1030" s="198"/>
    </row>
    <row r="1031" spans="1:7" ht="12.75">
      <c r="A1031" s="5">
        <v>2</v>
      </c>
      <c r="B1031" s="28">
        <v>75</v>
      </c>
      <c r="C1031" s="50"/>
      <c r="D1031" s="198"/>
      <c r="E1031" s="198"/>
      <c r="F1031" s="199"/>
      <c r="G1031" s="198"/>
    </row>
    <row r="1032" spans="1:7" ht="12.75">
      <c r="A1032" s="5">
        <v>3</v>
      </c>
      <c r="B1032" s="28">
        <v>75</v>
      </c>
      <c r="C1032" s="50"/>
      <c r="D1032" s="198"/>
      <c r="E1032" s="198"/>
      <c r="F1032" s="199"/>
      <c r="G1032" s="198"/>
    </row>
    <row r="1033" spans="1:7" ht="12.75">
      <c r="A1033" s="5">
        <v>4</v>
      </c>
      <c r="B1033" s="28">
        <v>75</v>
      </c>
      <c r="C1033" s="50"/>
      <c r="D1033" s="198"/>
      <c r="E1033" s="198"/>
      <c r="F1033" s="199"/>
      <c r="G1033" s="198"/>
    </row>
    <row r="1034" spans="1:7" ht="12.75">
      <c r="A1034" s="5">
        <v>5</v>
      </c>
      <c r="B1034" s="28">
        <v>75</v>
      </c>
      <c r="C1034" s="50"/>
      <c r="D1034" s="198"/>
      <c r="E1034" s="198"/>
      <c r="F1034" s="199"/>
      <c r="G1034" s="198"/>
    </row>
    <row r="1035" spans="1:7" ht="12.75">
      <c r="A1035" s="5">
        <v>6</v>
      </c>
      <c r="B1035" s="28">
        <v>75</v>
      </c>
      <c r="C1035" s="50"/>
      <c r="D1035" s="198"/>
      <c r="E1035" s="198"/>
      <c r="F1035" s="199"/>
      <c r="G1035" s="198"/>
    </row>
    <row r="1036" spans="1:7" ht="12.75">
      <c r="A1036" s="5">
        <v>7</v>
      </c>
      <c r="B1036" s="28">
        <v>75</v>
      </c>
      <c r="C1036" s="50"/>
      <c r="D1036" s="198"/>
      <c r="E1036" s="198"/>
      <c r="F1036" s="199"/>
      <c r="G1036" s="198"/>
    </row>
    <row r="1037" spans="1:7" ht="12.75">
      <c r="A1037" s="5">
        <v>8</v>
      </c>
      <c r="B1037" s="28">
        <v>75</v>
      </c>
      <c r="C1037" s="50"/>
      <c r="D1037" s="198"/>
      <c r="E1037" s="198"/>
      <c r="F1037" s="199"/>
      <c r="G1037" s="198"/>
    </row>
    <row r="1038" spans="1:7" ht="12.75">
      <c r="A1038" s="5">
        <v>9</v>
      </c>
      <c r="B1038" s="28">
        <v>75</v>
      </c>
      <c r="C1038" s="50"/>
      <c r="D1038" s="198"/>
      <c r="E1038" s="198"/>
      <c r="F1038" s="199"/>
      <c r="G1038" s="198"/>
    </row>
    <row r="1039" spans="1:7" ht="12.75">
      <c r="A1039" s="5">
        <v>10</v>
      </c>
      <c r="B1039" s="28">
        <v>75</v>
      </c>
      <c r="C1039" s="50"/>
      <c r="D1039" s="198"/>
      <c r="E1039" s="198"/>
      <c r="F1039" s="199"/>
      <c r="G1039" s="198"/>
    </row>
    <row r="1040" spans="1:7" ht="12.75">
      <c r="A1040" s="5">
        <v>11</v>
      </c>
      <c r="B1040" s="28">
        <v>75</v>
      </c>
      <c r="C1040" s="50"/>
      <c r="D1040" s="198"/>
      <c r="E1040" s="198"/>
      <c r="F1040" s="199"/>
      <c r="G1040" s="198"/>
    </row>
    <row r="1041" spans="1:7" ht="12.75">
      <c r="A1041" s="5">
        <v>12</v>
      </c>
      <c r="B1041" s="28">
        <v>75</v>
      </c>
      <c r="C1041" s="50"/>
      <c r="D1041" s="198"/>
      <c r="E1041" s="198"/>
      <c r="F1041" s="199"/>
      <c r="G1041" s="198"/>
    </row>
    <row r="1042" spans="1:7" ht="12.75">
      <c r="A1042" s="5">
        <v>1</v>
      </c>
      <c r="B1042" s="28">
        <v>90</v>
      </c>
      <c r="C1042" s="50"/>
      <c r="D1042" s="198"/>
      <c r="E1042" s="198"/>
      <c r="F1042" s="199"/>
      <c r="G1042" s="198"/>
    </row>
    <row r="1043" spans="1:7" ht="12.75">
      <c r="A1043" s="5">
        <v>2</v>
      </c>
      <c r="B1043" s="28">
        <v>90</v>
      </c>
      <c r="C1043" s="50"/>
      <c r="D1043" s="198"/>
      <c r="E1043" s="198"/>
      <c r="F1043" s="199"/>
      <c r="G1043" s="198"/>
    </row>
    <row r="1044" spans="1:7" ht="12.75">
      <c r="A1044" s="5">
        <v>3</v>
      </c>
      <c r="B1044" s="28">
        <v>90</v>
      </c>
      <c r="C1044" s="50"/>
      <c r="D1044" s="198"/>
      <c r="E1044" s="198"/>
      <c r="F1044" s="199"/>
      <c r="G1044" s="198"/>
    </row>
    <row r="1045" spans="1:7" ht="12.75">
      <c r="A1045" s="5">
        <v>4</v>
      </c>
      <c r="B1045" s="28">
        <v>90</v>
      </c>
      <c r="C1045" s="50"/>
      <c r="D1045" s="198"/>
      <c r="E1045" s="198"/>
      <c r="F1045" s="199"/>
      <c r="G1045" s="198"/>
    </row>
    <row r="1046" spans="1:7" ht="12.75">
      <c r="A1046" s="5">
        <v>5</v>
      </c>
      <c r="B1046" s="28">
        <v>90</v>
      </c>
      <c r="C1046" s="50"/>
      <c r="D1046" s="198"/>
      <c r="E1046" s="198"/>
      <c r="F1046" s="199"/>
      <c r="G1046" s="198"/>
    </row>
    <row r="1047" spans="1:7" ht="12.75">
      <c r="A1047" s="5">
        <v>6</v>
      </c>
      <c r="B1047" s="28">
        <v>90</v>
      </c>
      <c r="C1047" s="50"/>
      <c r="D1047" s="198"/>
      <c r="E1047" s="198"/>
      <c r="F1047" s="199"/>
      <c r="G1047" s="198"/>
    </row>
    <row r="1048" spans="1:7" ht="12.75">
      <c r="A1048" s="5">
        <v>7</v>
      </c>
      <c r="B1048" s="28">
        <v>90</v>
      </c>
      <c r="C1048" s="50"/>
      <c r="D1048" s="198"/>
      <c r="E1048" s="198"/>
      <c r="F1048" s="199"/>
      <c r="G1048" s="198"/>
    </row>
    <row r="1049" spans="1:7" ht="12.75">
      <c r="A1049" s="5">
        <v>8</v>
      </c>
      <c r="B1049" s="28">
        <v>90</v>
      </c>
      <c r="C1049" s="50"/>
      <c r="D1049" s="198"/>
      <c r="E1049" s="198"/>
      <c r="F1049" s="199"/>
      <c r="G1049" s="198"/>
    </row>
    <row r="1050" spans="1:7" ht="12.75">
      <c r="A1050" s="5">
        <v>9</v>
      </c>
      <c r="B1050" s="28">
        <v>90</v>
      </c>
      <c r="C1050" s="50"/>
      <c r="D1050" s="198"/>
      <c r="E1050" s="198"/>
      <c r="F1050" s="199"/>
      <c r="G1050" s="198"/>
    </row>
    <row r="1051" spans="1:7" ht="12.75">
      <c r="A1051" s="5">
        <v>10</v>
      </c>
      <c r="B1051" s="28">
        <v>90</v>
      </c>
      <c r="C1051" s="50"/>
      <c r="D1051" s="198"/>
      <c r="E1051" s="198"/>
      <c r="F1051" s="199"/>
      <c r="G1051" s="198"/>
    </row>
    <row r="1052" spans="1:7" ht="12.75">
      <c r="A1052" s="5">
        <v>11</v>
      </c>
      <c r="B1052" s="28">
        <v>90</v>
      </c>
      <c r="C1052" s="50"/>
      <c r="D1052" s="198"/>
      <c r="E1052" s="198"/>
      <c r="F1052" s="199"/>
      <c r="G1052" s="198"/>
    </row>
    <row r="1053" spans="1:7" ht="12.75">
      <c r="A1053" s="5">
        <v>12</v>
      </c>
      <c r="B1053" s="28">
        <v>90</v>
      </c>
      <c r="C1053" s="50"/>
      <c r="D1053" s="198"/>
      <c r="E1053" s="198"/>
      <c r="F1053" s="199"/>
      <c r="G1053" s="198"/>
    </row>
    <row r="1054" spans="1:7" ht="12.75">
      <c r="A1054" s="5">
        <v>1</v>
      </c>
      <c r="B1054" s="28">
        <v>105</v>
      </c>
      <c r="C1054" s="50"/>
      <c r="D1054" s="198"/>
      <c r="E1054" s="198"/>
      <c r="F1054" s="199"/>
      <c r="G1054" s="198"/>
    </row>
    <row r="1055" spans="1:7" ht="12.75">
      <c r="A1055" s="5">
        <v>2</v>
      </c>
      <c r="B1055" s="28">
        <v>105</v>
      </c>
      <c r="C1055" s="50"/>
      <c r="D1055" s="198"/>
      <c r="E1055" s="198"/>
      <c r="F1055" s="199"/>
      <c r="G1055" s="198"/>
    </row>
    <row r="1056" spans="1:7" ht="12.75">
      <c r="A1056" s="5">
        <v>3</v>
      </c>
      <c r="B1056" s="28">
        <v>105</v>
      </c>
      <c r="C1056" s="50"/>
      <c r="D1056" s="198"/>
      <c r="E1056" s="198"/>
      <c r="F1056" s="199"/>
      <c r="G1056" s="198"/>
    </row>
    <row r="1057" spans="1:7" ht="12.75">
      <c r="A1057" s="5">
        <v>4</v>
      </c>
      <c r="B1057" s="28">
        <v>105</v>
      </c>
      <c r="C1057" s="50"/>
      <c r="D1057" s="198"/>
      <c r="E1057" s="198"/>
      <c r="F1057" s="199"/>
      <c r="G1057" s="198"/>
    </row>
    <row r="1058" spans="1:7" ht="12.75">
      <c r="A1058" s="5">
        <v>5</v>
      </c>
      <c r="B1058" s="28">
        <v>105</v>
      </c>
      <c r="C1058" s="50"/>
      <c r="D1058" s="198"/>
      <c r="E1058" s="198"/>
      <c r="F1058" s="199"/>
      <c r="G1058" s="198"/>
    </row>
    <row r="1059" spans="1:7" ht="12.75">
      <c r="A1059" s="5">
        <v>6</v>
      </c>
      <c r="B1059" s="28">
        <v>105</v>
      </c>
      <c r="C1059" s="50"/>
      <c r="D1059" s="198"/>
      <c r="E1059" s="198"/>
      <c r="F1059" s="199"/>
      <c r="G1059" s="198"/>
    </row>
    <row r="1060" spans="1:7" ht="12.75">
      <c r="A1060" s="5">
        <v>7</v>
      </c>
      <c r="B1060" s="28">
        <v>105</v>
      </c>
      <c r="C1060" s="50"/>
      <c r="D1060" s="198"/>
      <c r="E1060" s="198"/>
      <c r="F1060" s="199"/>
      <c r="G1060" s="198"/>
    </row>
    <row r="1061" spans="1:7" ht="12.75">
      <c r="A1061" s="5">
        <v>8</v>
      </c>
      <c r="B1061" s="28">
        <v>105</v>
      </c>
      <c r="C1061" s="50"/>
      <c r="D1061" s="198"/>
      <c r="E1061" s="198"/>
      <c r="F1061" s="199"/>
      <c r="G1061" s="198"/>
    </row>
    <row r="1062" spans="1:7" ht="12.75">
      <c r="A1062" s="5">
        <v>9</v>
      </c>
      <c r="B1062" s="28">
        <v>105</v>
      </c>
      <c r="C1062" s="50"/>
      <c r="D1062" s="198"/>
      <c r="E1062" s="198"/>
      <c r="F1062" s="199"/>
      <c r="G1062" s="198"/>
    </row>
    <row r="1063" spans="1:7" ht="12.75">
      <c r="A1063" s="5">
        <v>10</v>
      </c>
      <c r="B1063" s="28">
        <v>105</v>
      </c>
      <c r="C1063" s="50"/>
      <c r="D1063" s="198"/>
      <c r="E1063" s="198"/>
      <c r="F1063" s="199"/>
      <c r="G1063" s="198"/>
    </row>
    <row r="1064" spans="1:7" ht="12.75">
      <c r="A1064" s="5">
        <v>11</v>
      </c>
      <c r="B1064" s="28">
        <v>105</v>
      </c>
      <c r="C1064" s="50"/>
      <c r="D1064" s="198"/>
      <c r="E1064" s="198"/>
      <c r="F1064" s="199"/>
      <c r="G1064" s="198"/>
    </row>
    <row r="1065" spans="1:7" ht="12.75">
      <c r="A1065" s="9">
        <v>12</v>
      </c>
      <c r="B1065" s="30">
        <v>105</v>
      </c>
      <c r="C1065" s="50"/>
      <c r="D1065" s="200"/>
      <c r="E1065" s="200"/>
      <c r="F1065" s="201"/>
      <c r="G1065" s="200"/>
    </row>
    <row r="1066" spans="1:7" ht="12.75">
      <c r="A1066" s="12" t="s">
        <v>235</v>
      </c>
      <c r="B1066" s="24"/>
      <c r="C1066" s="37"/>
      <c r="D1066" s="191"/>
      <c r="E1066" s="191"/>
      <c r="F1066" s="191"/>
      <c r="G1066" s="191"/>
    </row>
    <row r="1067" spans="1:7" ht="12.75">
      <c r="A1067" s="5" t="s">
        <v>236</v>
      </c>
      <c r="B1067" s="6"/>
      <c r="C1067" s="28"/>
      <c r="D1067" s="215"/>
      <c r="E1067" s="215"/>
      <c r="F1067" s="215"/>
      <c r="G1067" s="215"/>
    </row>
    <row r="1068" spans="1:7" ht="12.75">
      <c r="A1068" s="5" t="s">
        <v>243</v>
      </c>
      <c r="B1068" s="6"/>
      <c r="C1068" s="216"/>
      <c r="D1068" s="215"/>
      <c r="E1068" s="213"/>
      <c r="F1068" s="215"/>
      <c r="G1068" s="39"/>
    </row>
    <row r="1069" spans="1:7" ht="12.75">
      <c r="A1069" s="9" t="s">
        <v>242</v>
      </c>
      <c r="B1069" s="10"/>
      <c r="C1069" s="11"/>
      <c r="D1069" s="82"/>
      <c r="E1069" s="52"/>
      <c r="F1069" s="82"/>
      <c r="G1069" s="82"/>
    </row>
    <row r="1071" ht="12.75">
      <c r="A1071" s="64" t="s">
        <v>321</v>
      </c>
    </row>
    <row r="1072" spans="1:8" ht="12.75">
      <c r="A1072" s="148" t="s">
        <v>143</v>
      </c>
      <c r="B1072" s="111" t="s">
        <v>114</v>
      </c>
      <c r="C1072" s="104" t="s">
        <v>113</v>
      </c>
      <c r="D1072" s="111" t="s">
        <v>227</v>
      </c>
      <c r="E1072" s="104" t="s">
        <v>145</v>
      </c>
      <c r="F1072" s="111" t="s">
        <v>146</v>
      </c>
      <c r="G1072" s="612" t="s">
        <v>124</v>
      </c>
      <c r="H1072" s="613"/>
    </row>
    <row r="1073" spans="1:8" ht="13.5" thickBot="1">
      <c r="A1073" s="150" t="s">
        <v>148</v>
      </c>
      <c r="B1073" s="109" t="s">
        <v>117</v>
      </c>
      <c r="C1073" s="112" t="s">
        <v>116</v>
      </c>
      <c r="D1073" s="109" t="s">
        <v>228</v>
      </c>
      <c r="E1073" s="112" t="s">
        <v>121</v>
      </c>
      <c r="F1073" s="109" t="s">
        <v>151</v>
      </c>
      <c r="G1073" s="109">
        <v>0.05</v>
      </c>
      <c r="H1073" s="110">
        <v>0.01</v>
      </c>
    </row>
    <row r="1074" spans="1:8" ht="13.5" thickTop="1">
      <c r="A1074" s="5" t="s">
        <v>50</v>
      </c>
      <c r="B1074" s="26"/>
      <c r="C1074" s="219"/>
      <c r="D1074" s="220"/>
      <c r="E1074" s="6"/>
      <c r="F1074" s="28"/>
      <c r="G1074" s="28"/>
      <c r="H1074" s="38"/>
    </row>
    <row r="1075" spans="1:8" ht="12.75">
      <c r="A1075" s="5" t="s">
        <v>237</v>
      </c>
      <c r="B1075" s="28"/>
      <c r="C1075" s="219"/>
      <c r="D1075" s="220"/>
      <c r="E1075" s="6"/>
      <c r="F1075" s="28"/>
      <c r="G1075" s="28"/>
      <c r="H1075" s="38"/>
    </row>
    <row r="1076" spans="1:8" ht="12.75">
      <c r="A1076" s="5" t="s">
        <v>238</v>
      </c>
      <c r="B1076" s="28"/>
      <c r="C1076" s="219"/>
      <c r="D1076" s="220"/>
      <c r="E1076" s="252"/>
      <c r="F1076" s="253"/>
      <c r="G1076" s="39"/>
      <c r="H1076" s="80"/>
    </row>
    <row r="1077" spans="1:8" ht="12.75">
      <c r="A1077" s="5" t="s">
        <v>239</v>
      </c>
      <c r="B1077" s="28"/>
      <c r="C1077" s="219"/>
      <c r="D1077" s="220"/>
      <c r="E1077" s="252"/>
      <c r="F1077" s="253"/>
      <c r="G1077" s="218"/>
      <c r="H1077" s="218"/>
    </row>
    <row r="1078" spans="1:8" ht="12.75">
      <c r="A1078" s="5" t="s">
        <v>240</v>
      </c>
      <c r="B1078" s="28"/>
      <c r="C1078" s="219"/>
      <c r="D1078" s="220"/>
      <c r="E1078" s="252"/>
      <c r="F1078" s="253"/>
      <c r="G1078" s="218"/>
      <c r="H1078" s="218"/>
    </row>
    <row r="1079" spans="1:8" ht="12.75">
      <c r="A1079" s="5" t="s">
        <v>241</v>
      </c>
      <c r="B1079" s="28"/>
      <c r="C1079" s="219"/>
      <c r="D1079" s="220"/>
      <c r="E1079" s="252"/>
      <c r="F1079" s="253"/>
      <c r="G1079" s="218"/>
      <c r="H1079" s="218"/>
    </row>
    <row r="1080" spans="1:8" ht="12.75">
      <c r="A1080" s="5" t="s">
        <v>249</v>
      </c>
      <c r="B1080" s="26"/>
      <c r="C1080" s="251"/>
      <c r="D1080" s="220"/>
      <c r="E1080" s="252"/>
      <c r="F1080" s="253"/>
      <c r="G1080" s="39"/>
      <c r="H1080" s="80"/>
    </row>
    <row r="1081" spans="1:8" ht="13.5" thickBot="1">
      <c r="A1081" s="254" t="s">
        <v>57</v>
      </c>
      <c r="B1081" s="255"/>
      <c r="C1081" s="256"/>
      <c r="D1081" s="257"/>
      <c r="E1081" s="258"/>
      <c r="F1081" s="257"/>
      <c r="G1081" s="41"/>
      <c r="H1081" s="42"/>
    </row>
    <row r="1084" spans="1:7" ht="12.75">
      <c r="A1084" s="114" t="s">
        <v>234</v>
      </c>
      <c r="B1084" s="13" t="s">
        <v>229</v>
      </c>
      <c r="C1084" s="13" t="s">
        <v>230</v>
      </c>
      <c r="D1084" s="206" t="s">
        <v>231</v>
      </c>
      <c r="E1084" s="207" t="s">
        <v>232</v>
      </c>
      <c r="F1084" s="207" t="s">
        <v>250</v>
      </c>
      <c r="G1084" s="6"/>
    </row>
    <row r="1085" spans="1:7" ht="13.5" thickBot="1">
      <c r="A1085" s="211" t="s">
        <v>233</v>
      </c>
      <c r="B1085" s="209" t="s">
        <v>53</v>
      </c>
      <c r="C1085" s="209" t="s">
        <v>54</v>
      </c>
      <c r="D1085" s="210" t="s">
        <v>55</v>
      </c>
      <c r="E1085" s="209" t="s">
        <v>56</v>
      </c>
      <c r="F1085" s="209" t="s">
        <v>251</v>
      </c>
      <c r="G1085" s="203"/>
    </row>
    <row r="1086" spans="1:7" ht="13.5" thickTop="1">
      <c r="A1086" s="202">
        <v>45</v>
      </c>
      <c r="B1086" s="204"/>
      <c r="C1086" s="204"/>
      <c r="D1086" s="203"/>
      <c r="E1086" s="204"/>
      <c r="F1086" s="260"/>
      <c r="G1086" s="259"/>
    </row>
    <row r="1087" spans="1:7" ht="12.75">
      <c r="A1087" s="202">
        <v>60</v>
      </c>
      <c r="B1087" s="204"/>
      <c r="C1087" s="204"/>
      <c r="D1087" s="203"/>
      <c r="E1087" s="204"/>
      <c r="F1087" s="260"/>
      <c r="G1087" s="259"/>
    </row>
    <row r="1088" spans="1:7" ht="12.75">
      <c r="A1088" s="202">
        <v>75</v>
      </c>
      <c r="B1088" s="204"/>
      <c r="C1088" s="204"/>
      <c r="D1088" s="203"/>
      <c r="E1088" s="204"/>
      <c r="F1088" s="260"/>
      <c r="G1088" s="259"/>
    </row>
    <row r="1089" spans="1:7" ht="12.75">
      <c r="A1089" s="202">
        <f>A1088+15</f>
        <v>90</v>
      </c>
      <c r="B1089" s="204"/>
      <c r="C1089" s="204"/>
      <c r="D1089" s="203"/>
      <c r="E1089" s="204"/>
      <c r="F1089" s="260"/>
      <c r="G1089" s="259"/>
    </row>
    <row r="1090" spans="1:7" ht="12.75">
      <c r="A1090" s="212">
        <f>A1089+15</f>
        <v>105</v>
      </c>
      <c r="B1090" s="208"/>
      <c r="C1090" s="208"/>
      <c r="D1090" s="205"/>
      <c r="E1090" s="208"/>
      <c r="F1090" s="261"/>
      <c r="G1090" s="259"/>
    </row>
    <row r="1091" ht="12.75">
      <c r="G1091" s="6"/>
    </row>
    <row r="1114" ht="12.75">
      <c r="A1114" s="64" t="s">
        <v>322</v>
      </c>
    </row>
    <row r="1116" spans="1:2" ht="12.75">
      <c r="A1116" s="12" t="s">
        <v>252</v>
      </c>
      <c r="B1116" s="299"/>
    </row>
    <row r="1117" spans="1:2" ht="12.75">
      <c r="A1117" s="5" t="s">
        <v>253</v>
      </c>
      <c r="B1117" s="300"/>
    </row>
    <row r="1118" spans="1:2" ht="12.75">
      <c r="A1118" s="5" t="s">
        <v>254</v>
      </c>
      <c r="B1118" s="301"/>
    </row>
    <row r="1119" spans="1:2" ht="12.75">
      <c r="A1119" s="5" t="s">
        <v>255</v>
      </c>
      <c r="B1119" s="302"/>
    </row>
    <row r="1120" spans="1:5" s="273" customFormat="1" ht="13.5" thickBot="1">
      <c r="A1120" s="304" t="s">
        <v>242</v>
      </c>
      <c r="B1120" s="305"/>
      <c r="C1120" s="307" t="s">
        <v>312</v>
      </c>
      <c r="D1120" s="307" t="s">
        <v>313</v>
      </c>
      <c r="E1120" s="306" t="s">
        <v>323</v>
      </c>
    </row>
    <row r="1121" spans="1:5" ht="13.5" thickTop="1">
      <c r="A1121" s="57" t="s">
        <v>223</v>
      </c>
      <c r="B1121" s="36"/>
      <c r="C1121" s="36"/>
      <c r="D1121" s="36"/>
      <c r="E1121" s="38"/>
    </row>
    <row r="1122" spans="1:5" ht="12.75">
      <c r="A1122" s="5"/>
      <c r="B1122" s="28"/>
      <c r="C1122" s="39"/>
      <c r="D1122" s="36"/>
      <c r="E1122" s="38"/>
    </row>
    <row r="1123" spans="1:5" ht="12.75">
      <c r="A1123" s="59" t="s">
        <v>130</v>
      </c>
      <c r="B1123" s="11"/>
      <c r="C1123" s="11"/>
      <c r="D1123" s="11"/>
      <c r="E1123" s="303"/>
    </row>
    <row r="1127" ht="12.75">
      <c r="A1127" s="1" t="s">
        <v>324</v>
      </c>
    </row>
    <row r="1130" spans="1:3" ht="12.75">
      <c r="A1130" s="12"/>
      <c r="B1130" s="262" t="s">
        <v>71</v>
      </c>
      <c r="C1130" s="263" t="s">
        <v>72</v>
      </c>
    </row>
    <row r="1131" spans="1:6" ht="12.75">
      <c r="A1131" s="5"/>
      <c r="B1131" s="26" t="s">
        <v>65</v>
      </c>
      <c r="C1131" s="60" t="s">
        <v>256</v>
      </c>
      <c r="E1131" s="6"/>
      <c r="F1131" s="6"/>
    </row>
    <row r="1132" spans="1:3" ht="12.75">
      <c r="A1132" s="5"/>
      <c r="B1132" s="26" t="s">
        <v>67</v>
      </c>
      <c r="C1132" s="60" t="s">
        <v>257</v>
      </c>
    </row>
    <row r="1133" spans="1:3" ht="13.5" thickBot="1">
      <c r="A1133" s="115" t="s">
        <v>70</v>
      </c>
      <c r="B1133" s="16" t="s">
        <v>258</v>
      </c>
      <c r="C1133" s="17" t="s">
        <v>259</v>
      </c>
    </row>
    <row r="1134" spans="1:3" ht="13.5" thickTop="1">
      <c r="A1134" s="5">
        <v>1970</v>
      </c>
      <c r="B1134" s="18"/>
      <c r="C1134" s="62"/>
    </row>
    <row r="1135" spans="1:3" ht="12.75">
      <c r="A1135" s="5">
        <v>1971</v>
      </c>
      <c r="B1135" s="18"/>
      <c r="C1135" s="62"/>
    </row>
    <row r="1136" spans="1:3" ht="12.75">
      <c r="A1136" s="5">
        <v>1972</v>
      </c>
      <c r="B1136" s="18"/>
      <c r="C1136" s="62"/>
    </row>
    <row r="1137" spans="1:3" ht="12.75">
      <c r="A1137" s="5">
        <v>1973</v>
      </c>
      <c r="B1137" s="18"/>
      <c r="C1137" s="62"/>
    </row>
    <row r="1138" spans="1:3" ht="12.75">
      <c r="A1138" s="5">
        <v>1974</v>
      </c>
      <c r="B1138" s="18"/>
      <c r="C1138" s="62"/>
    </row>
    <row r="1139" spans="1:3" ht="12.75">
      <c r="A1139" s="5">
        <v>1975</v>
      </c>
      <c r="B1139" s="18"/>
      <c r="C1139" s="62"/>
    </row>
    <row r="1140" spans="1:3" ht="12.75">
      <c r="A1140" s="5">
        <v>1976</v>
      </c>
      <c r="B1140" s="18"/>
      <c r="C1140" s="62"/>
    </row>
    <row r="1141" spans="1:3" ht="12.75">
      <c r="A1141" s="5">
        <v>1977</v>
      </c>
      <c r="B1141" s="18"/>
      <c r="C1141" s="62"/>
    </row>
    <row r="1142" spans="1:3" ht="12.75">
      <c r="A1142" s="5">
        <v>1978</v>
      </c>
      <c r="B1142" s="18"/>
      <c r="C1142" s="62"/>
    </row>
    <row r="1143" spans="1:3" ht="12.75">
      <c r="A1143" s="5">
        <v>1979</v>
      </c>
      <c r="B1143" s="18"/>
      <c r="C1143" s="62"/>
    </row>
    <row r="1144" spans="1:3" ht="12.75">
      <c r="A1144" s="5">
        <v>1980</v>
      </c>
      <c r="B1144" s="18"/>
      <c r="C1144" s="62"/>
    </row>
    <row r="1145" spans="1:3" ht="12.75">
      <c r="A1145" s="5">
        <v>1981</v>
      </c>
      <c r="B1145" s="18"/>
      <c r="C1145" s="62"/>
    </row>
    <row r="1146" spans="1:3" ht="12.75">
      <c r="A1146" s="5">
        <v>1982</v>
      </c>
      <c r="B1146" s="18"/>
      <c r="C1146" s="62"/>
    </row>
    <row r="1147" spans="1:3" ht="12.75">
      <c r="A1147" s="5">
        <v>1983</v>
      </c>
      <c r="B1147" s="18"/>
      <c r="C1147" s="62"/>
    </row>
    <row r="1148" spans="1:3" ht="12.75">
      <c r="A1148" s="5">
        <v>1984</v>
      </c>
      <c r="B1148" s="18"/>
      <c r="C1148" s="62"/>
    </row>
    <row r="1149" spans="1:3" ht="12.75">
      <c r="A1149" s="5">
        <v>1985</v>
      </c>
      <c r="B1149" s="18"/>
      <c r="C1149" s="62"/>
    </row>
    <row r="1150" spans="1:3" ht="12.75">
      <c r="A1150" s="5">
        <v>1986</v>
      </c>
      <c r="B1150" s="18"/>
      <c r="C1150" s="62"/>
    </row>
    <row r="1151" spans="1:3" ht="12.75">
      <c r="A1151" s="5">
        <v>1987</v>
      </c>
      <c r="B1151" s="18"/>
      <c r="C1151" s="62"/>
    </row>
    <row r="1152" spans="1:3" ht="12.75">
      <c r="A1152" s="5">
        <v>1988</v>
      </c>
      <c r="B1152" s="18"/>
      <c r="C1152" s="62"/>
    </row>
    <row r="1153" spans="1:3" ht="12.75">
      <c r="A1153" s="5">
        <v>1989</v>
      </c>
      <c r="B1153" s="18"/>
      <c r="C1153" s="62"/>
    </row>
    <row r="1154" spans="1:3" ht="12.75">
      <c r="A1154" s="5">
        <v>1990</v>
      </c>
      <c r="B1154" s="18"/>
      <c r="C1154" s="62"/>
    </row>
    <row r="1155" spans="1:3" ht="12.75">
      <c r="A1155" s="5">
        <v>1991</v>
      </c>
      <c r="B1155" s="18"/>
      <c r="C1155" s="62"/>
    </row>
    <row r="1156" spans="1:3" ht="12.75">
      <c r="A1156" s="5">
        <v>1992</v>
      </c>
      <c r="B1156" s="18"/>
      <c r="C1156" s="62"/>
    </row>
    <row r="1157" spans="1:3" ht="12.75">
      <c r="A1157" s="5">
        <v>1993</v>
      </c>
      <c r="B1157" s="18"/>
      <c r="C1157" s="62"/>
    </row>
    <row r="1158" spans="1:3" ht="12.75">
      <c r="A1158" s="5">
        <v>1994</v>
      </c>
      <c r="B1158" s="18"/>
      <c r="C1158" s="62"/>
    </row>
    <row r="1159" spans="1:3" ht="12.75">
      <c r="A1159" s="5">
        <v>1995</v>
      </c>
      <c r="B1159" s="18"/>
      <c r="C1159" s="62"/>
    </row>
    <row r="1160" spans="1:3" ht="12.75">
      <c r="A1160" s="5">
        <v>1996</v>
      </c>
      <c r="B1160" s="18"/>
      <c r="C1160" s="62"/>
    </row>
    <row r="1161" spans="1:3" ht="12.75">
      <c r="A1161" s="5">
        <v>1997</v>
      </c>
      <c r="B1161" s="18"/>
      <c r="C1161" s="62"/>
    </row>
    <row r="1162" spans="1:3" ht="12.75">
      <c r="A1162" s="5">
        <v>1998</v>
      </c>
      <c r="B1162" s="18"/>
      <c r="C1162" s="62"/>
    </row>
    <row r="1163" spans="1:3" ht="12.75">
      <c r="A1163" s="9">
        <v>1999</v>
      </c>
      <c r="B1163" s="63"/>
      <c r="C1163" s="63"/>
    </row>
    <row r="1164" spans="1:3" ht="12.75">
      <c r="A1164" s="6"/>
      <c r="B1164" s="56"/>
      <c r="C1164" s="56"/>
    </row>
    <row r="1165" spans="1:3" ht="12.75">
      <c r="A1165" s="6"/>
      <c r="B1165" s="56"/>
      <c r="C1165" s="56"/>
    </row>
    <row r="1166" spans="1:3" ht="12.75">
      <c r="A1166" s="64" t="s">
        <v>325</v>
      </c>
      <c r="B1166" s="273"/>
      <c r="C1166" s="273"/>
    </row>
    <row r="1167" spans="1:2" ht="13.5" thickBot="1">
      <c r="A1167" s="190" t="s">
        <v>260</v>
      </c>
      <c r="B1167">
        <f>COUNT(A1134:A1163)-2</f>
        <v>28</v>
      </c>
    </row>
    <row r="1168" spans="1:4" ht="12.75">
      <c r="A1168" s="483"/>
      <c r="B1168" s="483" t="s">
        <v>70</v>
      </c>
      <c r="C1168" s="483" t="s">
        <v>258</v>
      </c>
      <c r="D1168" s="483" t="s">
        <v>259</v>
      </c>
    </row>
    <row r="1169" spans="1:6" ht="12.75">
      <c r="A1169" s="438" t="s">
        <v>70</v>
      </c>
      <c r="B1169" s="439"/>
      <c r="C1169" s="439"/>
      <c r="D1169" s="439"/>
      <c r="F1169" s="20"/>
    </row>
    <row r="1170" spans="1:4" ht="12.75">
      <c r="A1170" s="438" t="s">
        <v>258</v>
      </c>
      <c r="B1170" s="439"/>
      <c r="C1170" s="439"/>
      <c r="D1170" s="439"/>
    </row>
    <row r="1171" spans="1:4" ht="13.5" thickBot="1">
      <c r="A1171" s="440" t="s">
        <v>259</v>
      </c>
      <c r="B1171" s="488"/>
      <c r="C1171" s="488"/>
      <c r="D1171" s="488"/>
    </row>
    <row r="1172" spans="1:4" ht="13.5" thickBot="1">
      <c r="A1172" s="265" t="s">
        <v>261</v>
      </c>
      <c r="B1172" s="264"/>
      <c r="C1172" s="264"/>
      <c r="D1172" s="264"/>
    </row>
    <row r="1173" spans="1:2" ht="13.5" thickTop="1">
      <c r="A1173" s="183" t="s">
        <v>70</v>
      </c>
      <c r="B1173" s="268"/>
    </row>
    <row r="1174" spans="1:3" ht="12.75">
      <c r="A1174" s="183" t="s">
        <v>258</v>
      </c>
      <c r="B1174" s="266"/>
      <c r="C1174" s="268"/>
    </row>
    <row r="1175" spans="1:4" ht="13.5" thickBot="1">
      <c r="A1175" s="184" t="s">
        <v>259</v>
      </c>
      <c r="B1175" s="267"/>
      <c r="C1175" s="267"/>
      <c r="D1175" s="269"/>
    </row>
    <row r="1178" spans="1:4" ht="12.75">
      <c r="A1178" s="308" t="s">
        <v>327</v>
      </c>
      <c r="B1178" s="309"/>
      <c r="C1178" s="309"/>
      <c r="D1178" s="310"/>
    </row>
    <row r="1179" spans="1:4" ht="12.75">
      <c r="A1179" s="114"/>
      <c r="B1179" s="13"/>
      <c r="C1179" s="13" t="s">
        <v>66</v>
      </c>
      <c r="D1179" s="14" t="s">
        <v>262</v>
      </c>
    </row>
    <row r="1180" spans="1:4" ht="13.5" thickBot="1">
      <c r="A1180" s="115" t="s">
        <v>263</v>
      </c>
      <c r="B1180" s="16" t="s">
        <v>264</v>
      </c>
      <c r="C1180" s="16" t="s">
        <v>59</v>
      </c>
      <c r="D1180" s="17" t="s">
        <v>60</v>
      </c>
    </row>
    <row r="1181" spans="1:4" ht="13.5" thickTop="1">
      <c r="A1181" s="5" t="s">
        <v>265</v>
      </c>
      <c r="B1181" s="5"/>
      <c r="C1181" s="28"/>
      <c r="D1181" s="38"/>
    </row>
    <row r="1182" spans="1:4" ht="12.75">
      <c r="A1182" s="5" t="s">
        <v>19</v>
      </c>
      <c r="B1182" s="70"/>
      <c r="C1182" s="70"/>
      <c r="D1182" s="70"/>
    </row>
    <row r="1183" spans="1:4" ht="12.75">
      <c r="A1183" s="9" t="s">
        <v>266</v>
      </c>
      <c r="B1183" s="82"/>
      <c r="C1183" s="82"/>
      <c r="D1183" s="82"/>
    </row>
    <row r="1185" ht="12.75">
      <c r="A1185" s="193" t="s">
        <v>326</v>
      </c>
    </row>
    <row r="1186" spans="1:4" ht="12.75">
      <c r="A1186" s="12"/>
      <c r="B1186" s="622" t="s">
        <v>273</v>
      </c>
      <c r="C1186" s="623"/>
      <c r="D1186" s="624"/>
    </row>
    <row r="1187" spans="1:4" ht="13.5" thickBot="1">
      <c r="A1187" s="2" t="s">
        <v>274</v>
      </c>
      <c r="B1187" s="4" t="s">
        <v>70</v>
      </c>
      <c r="C1187" s="4" t="s">
        <v>258</v>
      </c>
      <c r="D1187" s="46" t="s">
        <v>267</v>
      </c>
    </row>
    <row r="1188" spans="1:4" ht="13.5" thickTop="1">
      <c r="A1188" s="5" t="s">
        <v>70</v>
      </c>
      <c r="B1188" s="26"/>
      <c r="C1188" s="26"/>
      <c r="D1188" s="26"/>
    </row>
    <row r="1189" spans="1:4" ht="12.75">
      <c r="A1189" s="5" t="s">
        <v>269</v>
      </c>
      <c r="B1189" s="39"/>
      <c r="C1189" s="26"/>
      <c r="D1189" s="80"/>
    </row>
    <row r="1190" spans="1:4" ht="12.75">
      <c r="A1190" s="9" t="s">
        <v>270</v>
      </c>
      <c r="B1190" s="82"/>
      <c r="C1190" s="82"/>
      <c r="D1190" s="241"/>
    </row>
    <row r="1193" spans="1:2" ht="12.75">
      <c r="A1193" s="270" t="s">
        <v>328</v>
      </c>
      <c r="B1193" s="203"/>
    </row>
    <row r="1194" spans="1:5" ht="12.75">
      <c r="A1194" s="271" t="s">
        <v>271</v>
      </c>
      <c r="B1194" s="272"/>
      <c r="C1194" s="24"/>
      <c r="D1194" s="274"/>
      <c r="E1194" s="99"/>
    </row>
    <row r="1195" spans="1:4" ht="12.75">
      <c r="A1195" s="9" t="s">
        <v>272</v>
      </c>
      <c r="B1195" s="10"/>
      <c r="C1195" s="10"/>
      <c r="D1195" s="84"/>
    </row>
    <row r="1198" ht="12.75">
      <c r="A1198" t="s">
        <v>329</v>
      </c>
    </row>
    <row r="1199" spans="1:4" ht="12.75">
      <c r="A1199" s="12"/>
      <c r="B1199" s="13" t="s">
        <v>65</v>
      </c>
      <c r="C1199" s="14" t="s">
        <v>256</v>
      </c>
      <c r="D1199" s="37"/>
    </row>
    <row r="1200" spans="1:4" ht="12.75">
      <c r="A1200" s="5"/>
      <c r="B1200" s="26" t="s">
        <v>67</v>
      </c>
      <c r="C1200" s="60" t="s">
        <v>257</v>
      </c>
      <c r="D1200" s="26" t="s">
        <v>275</v>
      </c>
    </row>
    <row r="1201" spans="1:4" ht="13.5" thickBot="1">
      <c r="A1201" s="15" t="s">
        <v>70</v>
      </c>
      <c r="B1201" s="16" t="s">
        <v>258</v>
      </c>
      <c r="C1201" s="17" t="s">
        <v>259</v>
      </c>
      <c r="D1201" s="16" t="s">
        <v>276</v>
      </c>
    </row>
    <row r="1202" spans="1:4" ht="13.5" thickTop="1">
      <c r="A1202" s="5">
        <v>1970</v>
      </c>
      <c r="B1202" s="70"/>
      <c r="C1202" s="175"/>
      <c r="D1202" s="28">
        <f>IF(A1202&lt;2000,A1202-1900,A1202-2000)</f>
        <v>70</v>
      </c>
    </row>
    <row r="1203" spans="1:4" ht="12.75">
      <c r="A1203" s="5">
        <v>1971</v>
      </c>
      <c r="B1203" s="70"/>
      <c r="C1203" s="175"/>
      <c r="D1203" s="28">
        <f aca="true" t="shared" si="0" ref="D1203:D1236">IF(A1203&lt;2000,A1203-1900,A1203-2000)</f>
        <v>71</v>
      </c>
    </row>
    <row r="1204" spans="1:4" ht="12.75">
      <c r="A1204" s="5">
        <v>1972</v>
      </c>
      <c r="B1204" s="70"/>
      <c r="C1204" s="175"/>
      <c r="D1204" s="28">
        <f t="shared" si="0"/>
        <v>72</v>
      </c>
    </row>
    <row r="1205" spans="1:4" ht="12.75">
      <c r="A1205" s="5">
        <v>1973</v>
      </c>
      <c r="B1205" s="70"/>
      <c r="C1205" s="175"/>
      <c r="D1205" s="28">
        <f t="shared" si="0"/>
        <v>73</v>
      </c>
    </row>
    <row r="1206" spans="1:4" ht="12.75">
      <c r="A1206" s="5">
        <v>1974</v>
      </c>
      <c r="B1206" s="70"/>
      <c r="C1206" s="175"/>
      <c r="D1206" s="28">
        <f t="shared" si="0"/>
        <v>74</v>
      </c>
    </row>
    <row r="1207" spans="1:4" ht="12.75">
      <c r="A1207" s="5">
        <v>1975</v>
      </c>
      <c r="B1207" s="70"/>
      <c r="C1207" s="175"/>
      <c r="D1207" s="28">
        <f t="shared" si="0"/>
        <v>75</v>
      </c>
    </row>
    <row r="1208" spans="1:4" ht="12.75">
      <c r="A1208" s="5">
        <v>1976</v>
      </c>
      <c r="B1208" s="70"/>
      <c r="C1208" s="175"/>
      <c r="D1208" s="28">
        <f t="shared" si="0"/>
        <v>76</v>
      </c>
    </row>
    <row r="1209" spans="1:4" ht="12.75">
      <c r="A1209" s="5">
        <v>1977</v>
      </c>
      <c r="B1209" s="70"/>
      <c r="C1209" s="175"/>
      <c r="D1209" s="28">
        <f t="shared" si="0"/>
        <v>77</v>
      </c>
    </row>
    <row r="1210" spans="1:4" ht="12.75">
      <c r="A1210" s="5">
        <v>1978</v>
      </c>
      <c r="B1210" s="70"/>
      <c r="C1210" s="175"/>
      <c r="D1210" s="28">
        <f t="shared" si="0"/>
        <v>78</v>
      </c>
    </row>
    <row r="1211" spans="1:4" ht="12.75">
      <c r="A1211" s="5">
        <v>1979</v>
      </c>
      <c r="B1211" s="70"/>
      <c r="C1211" s="175"/>
      <c r="D1211" s="28">
        <f t="shared" si="0"/>
        <v>79</v>
      </c>
    </row>
    <row r="1212" spans="1:4" ht="12.75">
      <c r="A1212" s="5">
        <v>1980</v>
      </c>
      <c r="B1212" s="70"/>
      <c r="C1212" s="175"/>
      <c r="D1212" s="28">
        <f t="shared" si="0"/>
        <v>80</v>
      </c>
    </row>
    <row r="1213" spans="1:4" ht="12.75">
      <c r="A1213" s="5">
        <v>1981</v>
      </c>
      <c r="B1213" s="70"/>
      <c r="C1213" s="175"/>
      <c r="D1213" s="28">
        <f t="shared" si="0"/>
        <v>81</v>
      </c>
    </row>
    <row r="1214" spans="1:4" ht="12.75">
      <c r="A1214" s="5">
        <v>1982</v>
      </c>
      <c r="B1214" s="70"/>
      <c r="C1214" s="175"/>
      <c r="D1214" s="28">
        <f t="shared" si="0"/>
        <v>82</v>
      </c>
    </row>
    <row r="1215" spans="1:4" ht="12.75">
      <c r="A1215" s="5">
        <v>1983</v>
      </c>
      <c r="B1215" s="70"/>
      <c r="C1215" s="175"/>
      <c r="D1215" s="28">
        <f t="shared" si="0"/>
        <v>83</v>
      </c>
    </row>
    <row r="1216" spans="1:4" ht="12.75">
      <c r="A1216" s="5">
        <v>1984</v>
      </c>
      <c r="B1216" s="70"/>
      <c r="C1216" s="175"/>
      <c r="D1216" s="28">
        <f t="shared" si="0"/>
        <v>84</v>
      </c>
    </row>
    <row r="1217" spans="1:4" ht="12.75">
      <c r="A1217" s="5">
        <v>1985</v>
      </c>
      <c r="B1217" s="70"/>
      <c r="C1217" s="175"/>
      <c r="D1217" s="28">
        <f t="shared" si="0"/>
        <v>85</v>
      </c>
    </row>
    <row r="1218" spans="1:4" ht="12.75">
      <c r="A1218" s="5">
        <v>1986</v>
      </c>
      <c r="B1218" s="70"/>
      <c r="C1218" s="175"/>
      <c r="D1218" s="28">
        <f t="shared" si="0"/>
        <v>86</v>
      </c>
    </row>
    <row r="1219" spans="1:4" ht="12.75">
      <c r="A1219" s="5">
        <v>1987</v>
      </c>
      <c r="B1219" s="70"/>
      <c r="C1219" s="175"/>
      <c r="D1219" s="28">
        <f t="shared" si="0"/>
        <v>87</v>
      </c>
    </row>
    <row r="1220" spans="1:4" ht="12.75">
      <c r="A1220" s="5">
        <v>1988</v>
      </c>
      <c r="B1220" s="70"/>
      <c r="C1220" s="175"/>
      <c r="D1220" s="28">
        <f t="shared" si="0"/>
        <v>88</v>
      </c>
    </row>
    <row r="1221" spans="1:4" ht="12.75">
      <c r="A1221" s="5">
        <v>1989</v>
      </c>
      <c r="B1221" s="70"/>
      <c r="C1221" s="175"/>
      <c r="D1221" s="28">
        <f t="shared" si="0"/>
        <v>89</v>
      </c>
    </row>
    <row r="1222" spans="1:4" ht="12.75">
      <c r="A1222" s="5">
        <v>1990</v>
      </c>
      <c r="B1222" s="70"/>
      <c r="C1222" s="175"/>
      <c r="D1222" s="28">
        <f t="shared" si="0"/>
        <v>90</v>
      </c>
    </row>
    <row r="1223" spans="1:4" ht="12.75">
      <c r="A1223" s="5">
        <v>1991</v>
      </c>
      <c r="B1223" s="70"/>
      <c r="C1223" s="175"/>
      <c r="D1223" s="28">
        <f t="shared" si="0"/>
        <v>91</v>
      </c>
    </row>
    <row r="1224" spans="1:4" ht="12.75">
      <c r="A1224" s="5">
        <v>1992</v>
      </c>
      <c r="B1224" s="70"/>
      <c r="C1224" s="175"/>
      <c r="D1224" s="28">
        <f t="shared" si="0"/>
        <v>92</v>
      </c>
    </row>
    <row r="1225" spans="1:4" ht="12.75">
      <c r="A1225" s="5">
        <v>1993</v>
      </c>
      <c r="B1225" s="70"/>
      <c r="C1225" s="175"/>
      <c r="D1225" s="28">
        <f t="shared" si="0"/>
        <v>93</v>
      </c>
    </row>
    <row r="1226" spans="1:4" ht="12.75">
      <c r="A1226" s="5">
        <v>1994</v>
      </c>
      <c r="B1226" s="70"/>
      <c r="C1226" s="175"/>
      <c r="D1226" s="28">
        <f t="shared" si="0"/>
        <v>94</v>
      </c>
    </row>
    <row r="1227" spans="1:4" ht="12.75">
      <c r="A1227" s="5">
        <v>1995</v>
      </c>
      <c r="B1227" s="70"/>
      <c r="C1227" s="175"/>
      <c r="D1227" s="28">
        <f t="shared" si="0"/>
        <v>95</v>
      </c>
    </row>
    <row r="1228" spans="1:4" ht="12.75">
      <c r="A1228" s="5">
        <v>1996</v>
      </c>
      <c r="B1228" s="70"/>
      <c r="C1228" s="175"/>
      <c r="D1228" s="28">
        <f t="shared" si="0"/>
        <v>96</v>
      </c>
    </row>
    <row r="1229" spans="1:4" ht="12.75">
      <c r="A1229" s="5">
        <v>1997</v>
      </c>
      <c r="B1229" s="70"/>
      <c r="C1229" s="175"/>
      <c r="D1229" s="28">
        <f t="shared" si="0"/>
        <v>97</v>
      </c>
    </row>
    <row r="1230" spans="1:4" ht="12.75">
      <c r="A1230" s="5">
        <v>1998</v>
      </c>
      <c r="B1230" s="70"/>
      <c r="C1230" s="175"/>
      <c r="D1230" s="28">
        <f t="shared" si="0"/>
        <v>98</v>
      </c>
    </row>
    <row r="1231" spans="1:4" ht="12.75">
      <c r="A1231" s="5">
        <v>1999</v>
      </c>
      <c r="B1231" s="70"/>
      <c r="C1231" s="175"/>
      <c r="D1231" s="28">
        <f t="shared" si="0"/>
        <v>99</v>
      </c>
    </row>
    <row r="1232" spans="1:4" ht="12.75">
      <c r="A1232" s="5">
        <f>+A1231+1</f>
        <v>2000</v>
      </c>
      <c r="B1232" s="70"/>
      <c r="C1232" s="175"/>
      <c r="D1232" s="28">
        <f t="shared" si="0"/>
        <v>0</v>
      </c>
    </row>
    <row r="1233" spans="1:4" ht="12.75">
      <c r="A1233" s="5">
        <f>+A1232+1</f>
        <v>2001</v>
      </c>
      <c r="B1233" s="70"/>
      <c r="C1233" s="175"/>
      <c r="D1233" s="28">
        <f t="shared" si="0"/>
        <v>1</v>
      </c>
    </row>
    <row r="1234" spans="1:4" ht="12.75">
      <c r="A1234" s="5">
        <f>+A1233+1</f>
        <v>2002</v>
      </c>
      <c r="B1234" s="70"/>
      <c r="C1234" s="175"/>
      <c r="D1234" s="28">
        <f t="shared" si="0"/>
        <v>2</v>
      </c>
    </row>
    <row r="1235" spans="1:4" ht="12.75">
      <c r="A1235" s="5">
        <f>+A1234+1</f>
        <v>2003</v>
      </c>
      <c r="B1235" s="70"/>
      <c r="C1235" s="175"/>
      <c r="D1235" s="28">
        <f t="shared" si="0"/>
        <v>3</v>
      </c>
    </row>
    <row r="1236" spans="1:4" ht="12.75">
      <c r="A1236" s="9">
        <f>+A1235+1</f>
        <v>2004</v>
      </c>
      <c r="B1236" s="177"/>
      <c r="C1236" s="176"/>
      <c r="D1236" s="30">
        <f t="shared" si="0"/>
        <v>4</v>
      </c>
    </row>
    <row r="1262" ht="12.75">
      <c r="A1262" t="s">
        <v>277</v>
      </c>
    </row>
    <row r="1263" ht="12.75">
      <c r="A1263" s="64" t="s">
        <v>330</v>
      </c>
    </row>
    <row r="1264" spans="1:3" ht="12.75">
      <c r="A1264" s="12"/>
      <c r="B1264" s="13" t="s">
        <v>65</v>
      </c>
      <c r="C1264" s="14" t="s">
        <v>256</v>
      </c>
    </row>
    <row r="1265" spans="1:3" ht="12.75">
      <c r="A1265" s="5"/>
      <c r="B1265" s="26" t="s">
        <v>67</v>
      </c>
      <c r="C1265" s="60" t="s">
        <v>257</v>
      </c>
    </row>
    <row r="1266" spans="1:3" ht="13.5" thickBot="1">
      <c r="A1266" s="15" t="s">
        <v>70</v>
      </c>
      <c r="B1266" s="16" t="s">
        <v>258</v>
      </c>
      <c r="C1266" s="17" t="s">
        <v>259</v>
      </c>
    </row>
    <row r="1267" spans="1:3" ht="13.5" thickTop="1">
      <c r="A1267" s="5">
        <f>A1147</f>
        <v>1983</v>
      </c>
      <c r="B1267" s="70"/>
      <c r="C1267" s="175"/>
    </row>
    <row r="1268" spans="1:3" ht="12.75">
      <c r="A1268" s="5">
        <f>A1148</f>
        <v>1984</v>
      </c>
      <c r="B1268" s="70"/>
      <c r="C1268" s="175"/>
    </row>
    <row r="1269" spans="1:3" ht="12.75">
      <c r="A1269" s="5">
        <f>A1149</f>
        <v>1985</v>
      </c>
      <c r="B1269" s="70"/>
      <c r="C1269" s="175"/>
    </row>
    <row r="1270" spans="1:3" ht="12.75">
      <c r="A1270" s="5">
        <f>A1150</f>
        <v>1986</v>
      </c>
      <c r="B1270" s="70"/>
      <c r="C1270" s="175"/>
    </row>
    <row r="1271" spans="1:3" ht="12.75">
      <c r="A1271" s="9">
        <f>A1151</f>
        <v>1987</v>
      </c>
      <c r="B1271" s="177"/>
      <c r="C1271" s="176"/>
    </row>
    <row r="1272" spans="1:3" ht="12.75">
      <c r="A1272" s="9" t="s">
        <v>138</v>
      </c>
      <c r="B1272" s="275"/>
      <c r="C1272" s="276"/>
    </row>
    <row r="1277" ht="12.75">
      <c r="A1277" s="64" t="s">
        <v>331</v>
      </c>
    </row>
    <row r="1278" spans="1:6" ht="12.75">
      <c r="A1278" s="12"/>
      <c r="B1278" s="622" t="s">
        <v>278</v>
      </c>
      <c r="C1278" s="624"/>
      <c r="D1278" s="622" t="s">
        <v>283</v>
      </c>
      <c r="E1278" s="624"/>
      <c r="F1278" s="13" t="s">
        <v>373</v>
      </c>
    </row>
    <row r="1279" spans="1:6" ht="13.5" thickBot="1">
      <c r="A1279" s="15"/>
      <c r="B1279" s="4" t="s">
        <v>258</v>
      </c>
      <c r="C1279" s="4" t="s">
        <v>259</v>
      </c>
      <c r="D1279" s="4" t="s">
        <v>285</v>
      </c>
      <c r="E1279" s="4" t="s">
        <v>286</v>
      </c>
      <c r="F1279" s="16" t="s">
        <v>374</v>
      </c>
    </row>
    <row r="1280" spans="1:6" ht="13.5" thickTop="1">
      <c r="A1280" s="5">
        <f>A1218</f>
        <v>1986</v>
      </c>
      <c r="B1280" s="39"/>
      <c r="C1280" s="39"/>
      <c r="D1280" s="70"/>
      <c r="E1280" s="70"/>
      <c r="F1280" s="28">
        <f>IF(A1280&lt;2000,A1280-1900,A1280-2000)</f>
        <v>86</v>
      </c>
    </row>
    <row r="1281" spans="1:6" ht="12.75">
      <c r="A1281" s="5">
        <f aca="true" t="shared" si="1" ref="A1281:A1293">A1219</f>
        <v>1987</v>
      </c>
      <c r="B1281" s="39"/>
      <c r="C1281" s="39"/>
      <c r="D1281" s="70"/>
      <c r="E1281" s="70"/>
      <c r="F1281" s="28">
        <f aca="true" t="shared" si="2" ref="F1281:F1293">IF(A1281&lt;2000,A1281-1900,A1281-2000)</f>
        <v>87</v>
      </c>
    </row>
    <row r="1282" spans="1:6" ht="12.75">
      <c r="A1282" s="5">
        <f t="shared" si="1"/>
        <v>1988</v>
      </c>
      <c r="B1282" s="39"/>
      <c r="C1282" s="39"/>
      <c r="D1282" s="70"/>
      <c r="E1282" s="70"/>
      <c r="F1282" s="28">
        <f t="shared" si="2"/>
        <v>88</v>
      </c>
    </row>
    <row r="1283" spans="1:6" ht="12.75">
      <c r="A1283" s="5">
        <f t="shared" si="1"/>
        <v>1989</v>
      </c>
      <c r="B1283" s="39"/>
      <c r="C1283" s="39"/>
      <c r="D1283" s="70"/>
      <c r="E1283" s="70"/>
      <c r="F1283" s="28">
        <f t="shared" si="2"/>
        <v>89</v>
      </c>
    </row>
    <row r="1284" spans="1:6" ht="12.75">
      <c r="A1284" s="5">
        <f t="shared" si="1"/>
        <v>1990</v>
      </c>
      <c r="B1284" s="39"/>
      <c r="C1284" s="39"/>
      <c r="D1284" s="70"/>
      <c r="E1284" s="70"/>
      <c r="F1284" s="28">
        <f t="shared" si="2"/>
        <v>90</v>
      </c>
    </row>
    <row r="1285" spans="1:6" ht="12.75">
      <c r="A1285" s="5">
        <f t="shared" si="1"/>
        <v>1991</v>
      </c>
      <c r="B1285" s="39"/>
      <c r="C1285" s="39"/>
      <c r="D1285" s="70"/>
      <c r="E1285" s="70"/>
      <c r="F1285" s="28">
        <f t="shared" si="2"/>
        <v>91</v>
      </c>
    </row>
    <row r="1286" spans="1:6" ht="12.75">
      <c r="A1286" s="5">
        <f t="shared" si="1"/>
        <v>1992</v>
      </c>
      <c r="B1286" s="39"/>
      <c r="C1286" s="39"/>
      <c r="D1286" s="70"/>
      <c r="E1286" s="70"/>
      <c r="F1286" s="28">
        <f t="shared" si="2"/>
        <v>92</v>
      </c>
    </row>
    <row r="1287" spans="1:6" ht="12.75">
      <c r="A1287" s="5">
        <f t="shared" si="1"/>
        <v>1993</v>
      </c>
      <c r="B1287" s="39"/>
      <c r="C1287" s="39"/>
      <c r="D1287" s="70"/>
      <c r="E1287" s="70"/>
      <c r="F1287" s="28">
        <f t="shared" si="2"/>
        <v>93</v>
      </c>
    </row>
    <row r="1288" spans="1:6" ht="12.75">
      <c r="A1288" s="5">
        <f t="shared" si="1"/>
        <v>1994</v>
      </c>
      <c r="B1288" s="39"/>
      <c r="C1288" s="39"/>
      <c r="D1288" s="70"/>
      <c r="E1288" s="70"/>
      <c r="F1288" s="28">
        <f t="shared" si="2"/>
        <v>94</v>
      </c>
    </row>
    <row r="1289" spans="1:6" ht="12.75">
      <c r="A1289" s="5">
        <f t="shared" si="1"/>
        <v>1995</v>
      </c>
      <c r="B1289" s="39"/>
      <c r="C1289" s="39"/>
      <c r="D1289" s="70"/>
      <c r="E1289" s="70"/>
      <c r="F1289" s="28">
        <f t="shared" si="2"/>
        <v>95</v>
      </c>
    </row>
    <row r="1290" spans="1:6" ht="12.75">
      <c r="A1290" s="5">
        <f t="shared" si="1"/>
        <v>1996</v>
      </c>
      <c r="B1290" s="39"/>
      <c r="C1290" s="39"/>
      <c r="D1290" s="70"/>
      <c r="E1290" s="70"/>
      <c r="F1290" s="28">
        <f t="shared" si="2"/>
        <v>96</v>
      </c>
    </row>
    <row r="1291" spans="1:6" ht="12.75">
      <c r="A1291" s="5">
        <f t="shared" si="1"/>
        <v>1997</v>
      </c>
      <c r="B1291" s="39"/>
      <c r="C1291" s="39"/>
      <c r="D1291" s="70"/>
      <c r="E1291" s="70"/>
      <c r="F1291" s="28">
        <f t="shared" si="2"/>
        <v>97</v>
      </c>
    </row>
    <row r="1292" spans="1:6" ht="12.75">
      <c r="A1292" s="5">
        <f t="shared" si="1"/>
        <v>1998</v>
      </c>
      <c r="B1292" s="39"/>
      <c r="C1292" s="39"/>
      <c r="D1292" s="70"/>
      <c r="E1292" s="70"/>
      <c r="F1292" s="28">
        <f t="shared" si="2"/>
        <v>98</v>
      </c>
    </row>
    <row r="1293" spans="1:6" ht="13.5" thickBot="1">
      <c r="A1293" s="254">
        <f t="shared" si="1"/>
        <v>1999</v>
      </c>
      <c r="B1293" s="40"/>
      <c r="C1293" s="40"/>
      <c r="D1293" s="277"/>
      <c r="E1293" s="277"/>
      <c r="F1293" s="41">
        <f t="shared" si="2"/>
        <v>99</v>
      </c>
    </row>
    <row r="1294" spans="1:5" ht="13.5" thickBot="1">
      <c r="A1294" s="15" t="s">
        <v>284</v>
      </c>
      <c r="B1294" s="279" t="str">
        <f>B1279</f>
        <v>I. Vivienda</v>
      </c>
      <c r="C1294" s="279" t="str">
        <f>C1279</f>
        <v>G. Público</v>
      </c>
      <c r="D1294" s="278"/>
      <c r="E1294" s="175"/>
    </row>
    <row r="1295" spans="1:5" ht="13.5" thickTop="1">
      <c r="A1295" s="5" t="s">
        <v>279</v>
      </c>
      <c r="B1295" s="39"/>
      <c r="C1295" s="39"/>
      <c r="D1295" s="5"/>
      <c r="E1295" s="38"/>
    </row>
    <row r="1296" spans="1:5" ht="12.75">
      <c r="A1296" s="5" t="s">
        <v>5</v>
      </c>
      <c r="B1296" s="39"/>
      <c r="C1296" s="39"/>
      <c r="D1296" s="5"/>
      <c r="E1296" s="38"/>
    </row>
    <row r="1297" spans="1:5" ht="12.75">
      <c r="A1297" s="5" t="s">
        <v>280</v>
      </c>
      <c r="B1297" s="39"/>
      <c r="C1297" s="39"/>
      <c r="D1297" s="5"/>
      <c r="E1297" s="38"/>
    </row>
    <row r="1298" spans="1:5" ht="12.75">
      <c r="A1298" s="5" t="s">
        <v>260</v>
      </c>
      <c r="B1298" s="28"/>
      <c r="C1298" s="28"/>
      <c r="D1298" s="5"/>
      <c r="E1298" s="38"/>
    </row>
    <row r="1299" spans="1:5" ht="12.75">
      <c r="A1299" s="5" t="s">
        <v>281</v>
      </c>
      <c r="B1299" s="39"/>
      <c r="C1299" s="39"/>
      <c r="D1299" s="5"/>
      <c r="E1299" s="38"/>
    </row>
    <row r="1300" spans="1:5" ht="12.75">
      <c r="A1300" s="9" t="s">
        <v>282</v>
      </c>
      <c r="B1300" s="82"/>
      <c r="C1300" s="82"/>
      <c r="D1300" s="9"/>
      <c r="E1300" s="54"/>
    </row>
    <row r="1324" ht="12.75">
      <c r="A1324" s="1" t="s">
        <v>332</v>
      </c>
    </row>
  </sheetData>
  <mergeCells count="17">
    <mergeCell ref="D1004:G1004"/>
    <mergeCell ref="G1072:H1072"/>
    <mergeCell ref="B1186:D1186"/>
    <mergeCell ref="B1278:C1278"/>
    <mergeCell ref="D1278:E1278"/>
    <mergeCell ref="F892:G892"/>
    <mergeCell ref="F921:G921"/>
    <mergeCell ref="F948:G948"/>
    <mergeCell ref="G988:H988"/>
    <mergeCell ref="D747:G747"/>
    <mergeCell ref="G816:H816"/>
    <mergeCell ref="F831:G831"/>
    <mergeCell ref="F863:G863"/>
    <mergeCell ref="G376:H376"/>
    <mergeCell ref="G490:H490"/>
    <mergeCell ref="B594:C594"/>
    <mergeCell ref="D594:E594"/>
  </mergeCells>
  <printOptions/>
  <pageMargins left="0.75" right="0.75" top="1" bottom="1" header="0" footer="0"/>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4:J1353"/>
  <sheetViews>
    <sheetView workbookViewId="0" topLeftCell="A1324">
      <selection activeCell="E1327" sqref="E1327"/>
    </sheetView>
  </sheetViews>
  <sheetFormatPr defaultColWidth="11.421875" defaultRowHeight="12.75"/>
  <cols>
    <col min="1" max="1" width="23.28125" style="0" customWidth="1"/>
    <col min="2" max="2" width="12.57421875" style="0" customWidth="1"/>
  </cols>
  <sheetData>
    <row r="4" ht="12.75">
      <c r="A4" s="1" t="s">
        <v>73</v>
      </c>
    </row>
    <row r="6" ht="12.75">
      <c r="A6" s="64" t="s">
        <v>74</v>
      </c>
    </row>
    <row r="7" spans="1:3" ht="12.75">
      <c r="A7" s="489"/>
      <c r="B7" s="490" t="s">
        <v>8</v>
      </c>
      <c r="C7" s="491" t="s">
        <v>8</v>
      </c>
    </row>
    <row r="8" spans="1:3" ht="13.5" thickBot="1">
      <c r="A8" s="495" t="s">
        <v>9</v>
      </c>
      <c r="B8" s="493" t="s">
        <v>10</v>
      </c>
      <c r="C8" s="494" t="s">
        <v>11</v>
      </c>
    </row>
    <row r="9" spans="1:3" ht="13.5" thickTop="1">
      <c r="A9" s="496">
        <v>1</v>
      </c>
      <c r="B9" s="65">
        <v>1.49</v>
      </c>
      <c r="C9" s="66">
        <v>1.64</v>
      </c>
    </row>
    <row r="10" spans="1:3" ht="12.75">
      <c r="A10" s="496">
        <v>2</v>
      </c>
      <c r="B10" s="65">
        <v>1.52</v>
      </c>
      <c r="C10" s="66">
        <v>1.62</v>
      </c>
    </row>
    <row r="11" spans="1:3" ht="12.75">
      <c r="A11" s="496">
        <v>3</v>
      </c>
      <c r="B11" s="65">
        <v>1.81</v>
      </c>
      <c r="C11" s="66">
        <v>1.78</v>
      </c>
    </row>
    <row r="12" spans="1:3" ht="12.75">
      <c r="A12" s="496">
        <v>4</v>
      </c>
      <c r="B12" s="65">
        <v>1.57</v>
      </c>
      <c r="C12" s="66">
        <v>1.6</v>
      </c>
    </row>
    <row r="13" spans="1:3" ht="12.75">
      <c r="A13" s="496">
        <v>5</v>
      </c>
      <c r="B13" s="65">
        <v>1.63</v>
      </c>
      <c r="C13" s="66">
        <v>1.68</v>
      </c>
    </row>
    <row r="14" spans="1:3" ht="12.75">
      <c r="A14" s="496">
        <v>6</v>
      </c>
      <c r="B14" s="65">
        <v>1.73</v>
      </c>
      <c r="C14" s="66">
        <v>1.65</v>
      </c>
    </row>
    <row r="15" spans="1:3" ht="12.75">
      <c r="A15" s="496">
        <v>7</v>
      </c>
      <c r="B15" s="65">
        <v>1.76</v>
      </c>
      <c r="C15" s="66">
        <v>1.71</v>
      </c>
    </row>
    <row r="16" spans="1:3" ht="12.75">
      <c r="A16" s="496">
        <v>8</v>
      </c>
      <c r="B16" s="65">
        <v>1.84</v>
      </c>
      <c r="C16" s="66">
        <v>1.8</v>
      </c>
    </row>
    <row r="17" spans="1:3" ht="12.75">
      <c r="A17" s="496">
        <v>9</v>
      </c>
      <c r="B17" s="65">
        <v>1.86</v>
      </c>
      <c r="C17" s="66">
        <v>1.73</v>
      </c>
    </row>
    <row r="18" spans="1:3" ht="12.75">
      <c r="A18" s="496">
        <v>10</v>
      </c>
      <c r="B18" s="65">
        <v>1.45</v>
      </c>
      <c r="C18" s="66">
        <v>1.52</v>
      </c>
    </row>
    <row r="19" spans="1:3" ht="12.75">
      <c r="A19" s="496">
        <v>11</v>
      </c>
      <c r="B19" s="65">
        <v>1.77</v>
      </c>
      <c r="C19" s="66">
        <v>1.68</v>
      </c>
    </row>
    <row r="20" spans="1:3" ht="12.75">
      <c r="A20" s="496">
        <v>12</v>
      </c>
      <c r="B20" s="65">
        <v>1.57</v>
      </c>
      <c r="C20" s="66">
        <v>1.66</v>
      </c>
    </row>
    <row r="21" spans="1:3" ht="12.75">
      <c r="A21" s="496">
        <v>13</v>
      </c>
      <c r="B21" s="65">
        <v>1.77</v>
      </c>
      <c r="C21" s="66">
        <v>1.66</v>
      </c>
    </row>
    <row r="22" spans="1:3" ht="12.75">
      <c r="A22" s="496">
        <v>14</v>
      </c>
      <c r="B22" s="65">
        <v>1.58</v>
      </c>
      <c r="C22" s="66">
        <v>1.67</v>
      </c>
    </row>
    <row r="23" spans="1:3" ht="12.75">
      <c r="A23" s="496">
        <v>15</v>
      </c>
      <c r="B23" s="65">
        <v>1.88</v>
      </c>
      <c r="C23" s="66">
        <v>1.83</v>
      </c>
    </row>
    <row r="24" spans="1:3" ht="12.75">
      <c r="A24" s="496">
        <v>16</v>
      </c>
      <c r="B24" s="65">
        <v>1.76</v>
      </c>
      <c r="C24" s="66">
        <v>1.73</v>
      </c>
    </row>
    <row r="25" spans="1:3" ht="12.75">
      <c r="A25" s="496">
        <v>17</v>
      </c>
      <c r="B25" s="65">
        <v>1.74</v>
      </c>
      <c r="C25" s="66">
        <v>1.67</v>
      </c>
    </row>
    <row r="26" spans="1:3" ht="12.75">
      <c r="A26" s="496">
        <v>18</v>
      </c>
      <c r="B26" s="65">
        <v>1.61</v>
      </c>
      <c r="C26" s="66">
        <v>1.65</v>
      </c>
    </row>
    <row r="27" spans="1:3" ht="12.75">
      <c r="A27" s="496">
        <v>19</v>
      </c>
      <c r="B27" s="65">
        <v>1.69</v>
      </c>
      <c r="C27" s="66">
        <v>1.59</v>
      </c>
    </row>
    <row r="28" spans="1:3" ht="12.75">
      <c r="A28" s="496">
        <v>20</v>
      </c>
      <c r="B28" s="65">
        <v>1.65</v>
      </c>
      <c r="C28" s="66">
        <v>1.76</v>
      </c>
    </row>
    <row r="29" spans="1:3" ht="12.75">
      <c r="A29" s="496">
        <v>21</v>
      </c>
      <c r="B29" s="65">
        <v>1.69</v>
      </c>
      <c r="C29" s="66">
        <v>1.62</v>
      </c>
    </row>
    <row r="30" spans="1:3" ht="12.75">
      <c r="A30" s="496">
        <v>22</v>
      </c>
      <c r="B30" s="65">
        <v>1.61</v>
      </c>
      <c r="C30" s="66">
        <v>1.65</v>
      </c>
    </row>
    <row r="31" spans="1:3" ht="12.75">
      <c r="A31" s="496">
        <v>23</v>
      </c>
      <c r="B31" s="65">
        <v>1.85</v>
      </c>
      <c r="C31" s="66">
        <v>1.73</v>
      </c>
    </row>
    <row r="32" spans="1:3" ht="12.75">
      <c r="A32" s="496">
        <v>24</v>
      </c>
      <c r="B32" s="65">
        <v>1.62</v>
      </c>
      <c r="C32" s="66">
        <v>1.64</v>
      </c>
    </row>
    <row r="33" spans="1:3" ht="12.75">
      <c r="A33" s="496">
        <v>25</v>
      </c>
      <c r="B33" s="65">
        <v>1.82</v>
      </c>
      <c r="C33" s="66">
        <v>1.79</v>
      </c>
    </row>
    <row r="34" spans="1:3" ht="12.75">
      <c r="A34" s="496">
        <v>26</v>
      </c>
      <c r="B34" s="65">
        <v>1.87</v>
      </c>
      <c r="C34" s="66">
        <v>1.82</v>
      </c>
    </row>
    <row r="35" spans="1:3" ht="12.75">
      <c r="A35" s="496">
        <v>27</v>
      </c>
      <c r="B35" s="65">
        <v>1.61</v>
      </c>
      <c r="C35" s="66">
        <v>1.72</v>
      </c>
    </row>
    <row r="36" spans="1:3" ht="12.75">
      <c r="A36" s="496">
        <v>28</v>
      </c>
      <c r="B36" s="65">
        <v>1.69</v>
      </c>
      <c r="C36" s="66">
        <v>1.57</v>
      </c>
    </row>
    <row r="37" spans="1:3" ht="12.75">
      <c r="A37" s="496">
        <v>29</v>
      </c>
      <c r="B37" s="65">
        <v>1.73</v>
      </c>
      <c r="C37" s="66">
        <v>1.62</v>
      </c>
    </row>
    <row r="38" spans="1:3" ht="12.75">
      <c r="A38" s="496">
        <v>30</v>
      </c>
      <c r="B38" s="65">
        <v>1.65</v>
      </c>
      <c r="C38" s="66">
        <v>1.77</v>
      </c>
    </row>
    <row r="39" spans="1:3" ht="12.75">
      <c r="A39" s="496">
        <v>31</v>
      </c>
      <c r="B39" s="65">
        <v>1.66</v>
      </c>
      <c r="C39" s="66">
        <v>1.7</v>
      </c>
    </row>
    <row r="40" spans="1:3" ht="12.75">
      <c r="A40" s="496">
        <v>32</v>
      </c>
      <c r="B40" s="65">
        <v>1.83</v>
      </c>
      <c r="C40" s="66">
        <v>1.74</v>
      </c>
    </row>
    <row r="41" spans="1:3" ht="12.75">
      <c r="A41" s="496">
        <v>33</v>
      </c>
      <c r="B41" s="65">
        <v>1.88</v>
      </c>
      <c r="C41" s="66">
        <v>1.78</v>
      </c>
    </row>
    <row r="42" spans="1:3" ht="12.75">
      <c r="A42" s="496">
        <v>34</v>
      </c>
      <c r="B42" s="65">
        <v>1.73</v>
      </c>
      <c r="C42" s="66">
        <v>1.69</v>
      </c>
    </row>
    <row r="43" spans="1:3" ht="12.75">
      <c r="A43" s="496">
        <v>35</v>
      </c>
      <c r="B43" s="65">
        <v>1.74</v>
      </c>
      <c r="C43" s="66">
        <v>1.74</v>
      </c>
    </row>
    <row r="44" spans="1:3" ht="12.75">
      <c r="A44" s="496">
        <v>36</v>
      </c>
      <c r="B44" s="65">
        <v>1.7</v>
      </c>
      <c r="C44" s="66">
        <v>1.66</v>
      </c>
    </row>
    <row r="45" spans="1:3" ht="12.75">
      <c r="A45" s="496">
        <v>37</v>
      </c>
      <c r="B45" s="65">
        <v>1.58</v>
      </c>
      <c r="C45" s="66">
        <v>1.62</v>
      </c>
    </row>
    <row r="46" spans="1:3" ht="12.75">
      <c r="A46" s="496">
        <v>38</v>
      </c>
      <c r="B46" s="65">
        <v>1.5</v>
      </c>
      <c r="C46" s="66">
        <v>1.55</v>
      </c>
    </row>
    <row r="47" spans="1:3" ht="12.75">
      <c r="A47" s="496">
        <v>39</v>
      </c>
      <c r="B47" s="65">
        <v>1.82</v>
      </c>
      <c r="C47" s="66">
        <v>1.72</v>
      </c>
    </row>
    <row r="48" spans="1:3" ht="12.75">
      <c r="A48" s="496">
        <v>40</v>
      </c>
      <c r="B48" s="65">
        <v>1.67</v>
      </c>
      <c r="C48" s="66">
        <v>1.74</v>
      </c>
    </row>
    <row r="49" spans="1:3" ht="12.75">
      <c r="A49" s="496">
        <v>41</v>
      </c>
      <c r="B49" s="65">
        <v>1.72</v>
      </c>
      <c r="C49" s="66">
        <v>1.61</v>
      </c>
    </row>
    <row r="50" spans="1:3" ht="12.75">
      <c r="A50" s="496">
        <v>42</v>
      </c>
      <c r="B50" s="65">
        <v>1.78</v>
      </c>
      <c r="C50" s="66">
        <v>1.75</v>
      </c>
    </row>
    <row r="51" spans="1:3" ht="12.75">
      <c r="A51" s="496">
        <v>43</v>
      </c>
      <c r="B51" s="65">
        <v>1.85</v>
      </c>
      <c r="C51" s="66">
        <v>1.72</v>
      </c>
    </row>
    <row r="52" spans="1:3" ht="12.75">
      <c r="A52" s="496">
        <v>44</v>
      </c>
      <c r="B52" s="65">
        <v>1.84</v>
      </c>
      <c r="C52" s="66">
        <v>1.76</v>
      </c>
    </row>
    <row r="53" spans="1:3" ht="12.75">
      <c r="A53" s="496">
        <v>45</v>
      </c>
      <c r="B53" s="65">
        <v>1.83</v>
      </c>
      <c r="C53" s="66">
        <v>1.83</v>
      </c>
    </row>
    <row r="54" spans="1:3" ht="12.75">
      <c r="A54" s="496">
        <v>46</v>
      </c>
      <c r="B54" s="65">
        <v>1.59</v>
      </c>
      <c r="C54" s="66">
        <v>1.7</v>
      </c>
    </row>
    <row r="55" spans="1:3" ht="12.75">
      <c r="A55" s="496">
        <v>47</v>
      </c>
      <c r="B55" s="65">
        <v>1.5</v>
      </c>
      <c r="C55" s="66">
        <v>1.56</v>
      </c>
    </row>
    <row r="56" spans="1:3" ht="12.75">
      <c r="A56" s="496">
        <v>48</v>
      </c>
      <c r="B56" s="65">
        <v>1.45</v>
      </c>
      <c r="C56" s="66">
        <v>1.52</v>
      </c>
    </row>
    <row r="57" spans="1:3" ht="12.75">
      <c r="A57" s="496">
        <v>49</v>
      </c>
      <c r="B57" s="65">
        <v>1.68</v>
      </c>
      <c r="C57" s="66">
        <v>1.56</v>
      </c>
    </row>
    <row r="58" spans="1:3" ht="12.75">
      <c r="A58" s="496">
        <v>50</v>
      </c>
      <c r="B58" s="65">
        <v>1.7</v>
      </c>
      <c r="C58" s="66">
        <v>1.69</v>
      </c>
    </row>
    <row r="59" spans="1:3" ht="12.75">
      <c r="A59" s="496">
        <v>51</v>
      </c>
      <c r="B59" s="65">
        <v>1.53</v>
      </c>
      <c r="C59" s="66">
        <v>1.61</v>
      </c>
    </row>
    <row r="60" spans="1:3" ht="12.75">
      <c r="A60" s="496">
        <v>52</v>
      </c>
      <c r="B60" s="65">
        <v>1.74</v>
      </c>
      <c r="C60" s="66">
        <v>1.65</v>
      </c>
    </row>
    <row r="61" spans="1:3" ht="12.75">
      <c r="A61" s="496">
        <v>53</v>
      </c>
      <c r="B61" s="65">
        <v>1.67</v>
      </c>
      <c r="C61" s="66">
        <v>1.68</v>
      </c>
    </row>
    <row r="62" spans="1:3" ht="12.75">
      <c r="A62" s="496">
        <v>54</v>
      </c>
      <c r="B62" s="65">
        <v>1.67</v>
      </c>
      <c r="C62" s="66">
        <v>1.6</v>
      </c>
    </row>
    <row r="63" spans="1:3" ht="12.75">
      <c r="A63" s="496">
        <v>55</v>
      </c>
      <c r="B63" s="65">
        <v>1.54</v>
      </c>
      <c r="C63" s="66">
        <v>1.62</v>
      </c>
    </row>
    <row r="64" spans="1:3" ht="12.75">
      <c r="A64" s="496">
        <v>56</v>
      </c>
      <c r="B64" s="65">
        <v>1.77</v>
      </c>
      <c r="C64" s="66">
        <v>1.76</v>
      </c>
    </row>
    <row r="65" spans="1:3" ht="12.75">
      <c r="A65" s="496">
        <v>57</v>
      </c>
      <c r="B65" s="65">
        <v>1.64</v>
      </c>
      <c r="C65" s="66">
        <v>1.66</v>
      </c>
    </row>
    <row r="66" spans="1:3" ht="12.75">
      <c r="A66" s="496">
        <v>58</v>
      </c>
      <c r="B66" s="65">
        <v>1.81</v>
      </c>
      <c r="C66" s="66">
        <v>1.7</v>
      </c>
    </row>
    <row r="67" spans="1:3" ht="12.75">
      <c r="A67" s="496">
        <v>59</v>
      </c>
      <c r="B67" s="65">
        <v>1.7</v>
      </c>
      <c r="C67" s="66">
        <v>1.66</v>
      </c>
    </row>
    <row r="68" spans="1:3" ht="12.75">
      <c r="A68" s="496">
        <v>60</v>
      </c>
      <c r="B68" s="65">
        <v>1.67</v>
      </c>
      <c r="C68" s="66">
        <v>1.62</v>
      </c>
    </row>
    <row r="69" spans="1:3" ht="12.75">
      <c r="A69" s="496">
        <v>61</v>
      </c>
      <c r="B69" s="65">
        <v>1.48</v>
      </c>
      <c r="C69" s="66">
        <v>1.58</v>
      </c>
    </row>
    <row r="70" spans="1:3" ht="12.75">
      <c r="A70" s="496">
        <v>62</v>
      </c>
      <c r="B70" s="65">
        <v>1.67</v>
      </c>
      <c r="C70" s="66">
        <v>1.68</v>
      </c>
    </row>
    <row r="71" spans="1:3" ht="12.75">
      <c r="A71" s="496">
        <v>63</v>
      </c>
      <c r="B71" s="65">
        <v>1.66</v>
      </c>
      <c r="C71" s="66">
        <v>1.68</v>
      </c>
    </row>
    <row r="72" spans="1:3" ht="12.75">
      <c r="A72" s="496">
        <v>64</v>
      </c>
      <c r="B72" s="65">
        <v>1.56</v>
      </c>
      <c r="C72" s="66">
        <v>1.67</v>
      </c>
    </row>
    <row r="73" spans="1:3" ht="12.75">
      <c r="A73" s="496">
        <v>65</v>
      </c>
      <c r="B73" s="65">
        <v>1.64</v>
      </c>
      <c r="C73" s="66">
        <v>1.66</v>
      </c>
    </row>
    <row r="74" spans="1:3" ht="12.75">
      <c r="A74" s="496">
        <v>66</v>
      </c>
      <c r="B74" s="65">
        <v>1.71</v>
      </c>
      <c r="C74" s="66">
        <v>1.68</v>
      </c>
    </row>
    <row r="75" spans="1:3" ht="12.75">
      <c r="A75" s="496">
        <v>67</v>
      </c>
      <c r="B75" s="65">
        <v>1.56</v>
      </c>
      <c r="C75" s="66">
        <v>1.64</v>
      </c>
    </row>
    <row r="76" spans="1:3" ht="12.75">
      <c r="A76" s="496">
        <v>68</v>
      </c>
      <c r="B76" s="65">
        <v>1.73</v>
      </c>
      <c r="C76" s="66">
        <v>1.71</v>
      </c>
    </row>
    <row r="77" spans="1:3" ht="12.75">
      <c r="A77" s="496">
        <v>69</v>
      </c>
      <c r="B77" s="65">
        <v>1.8</v>
      </c>
      <c r="C77" s="66">
        <v>1.76</v>
      </c>
    </row>
    <row r="78" spans="1:3" ht="12.75">
      <c r="A78" s="496">
        <v>70</v>
      </c>
      <c r="B78" s="65">
        <v>1.47</v>
      </c>
      <c r="C78" s="66">
        <v>1.62</v>
      </c>
    </row>
    <row r="79" spans="1:3" ht="12.75">
      <c r="A79" s="496">
        <v>71</v>
      </c>
      <c r="B79" s="65">
        <v>1.7</v>
      </c>
      <c r="C79" s="66">
        <v>1.64</v>
      </c>
    </row>
    <row r="80" spans="1:3" ht="12.75">
      <c r="A80" s="496">
        <v>72</v>
      </c>
      <c r="B80" s="65">
        <v>1.88</v>
      </c>
      <c r="C80" s="66">
        <v>1.87</v>
      </c>
    </row>
    <row r="81" spans="1:3" ht="12.75">
      <c r="A81" s="496">
        <v>73</v>
      </c>
      <c r="B81" s="65">
        <v>1.5</v>
      </c>
      <c r="C81" s="66">
        <v>1.6</v>
      </c>
    </row>
    <row r="82" spans="1:3" ht="12.75">
      <c r="A82" s="496">
        <v>74</v>
      </c>
      <c r="B82" s="65">
        <v>1.82</v>
      </c>
      <c r="C82" s="66">
        <v>1.77</v>
      </c>
    </row>
    <row r="83" spans="1:3" ht="12.75">
      <c r="A83" s="496">
        <v>75</v>
      </c>
      <c r="B83" s="65">
        <v>1.57</v>
      </c>
      <c r="C83" s="66">
        <v>1.66</v>
      </c>
    </row>
    <row r="84" spans="1:3" ht="12.75">
      <c r="A84" s="496">
        <v>76</v>
      </c>
      <c r="B84" s="65">
        <v>1.82</v>
      </c>
      <c r="C84" s="66">
        <v>1.74</v>
      </c>
    </row>
    <row r="85" spans="1:3" ht="12.75">
      <c r="A85" s="496">
        <v>77</v>
      </c>
      <c r="B85" s="65">
        <v>1.55</v>
      </c>
      <c r="C85" s="66">
        <v>1.62</v>
      </c>
    </row>
    <row r="86" spans="1:3" ht="12.75">
      <c r="A86" s="496">
        <v>78</v>
      </c>
      <c r="B86" s="65">
        <v>1.77</v>
      </c>
      <c r="C86" s="66">
        <v>1.68</v>
      </c>
    </row>
    <row r="87" spans="1:3" ht="12.75">
      <c r="A87" s="496">
        <v>79</v>
      </c>
      <c r="B87" s="65">
        <v>1.52</v>
      </c>
      <c r="C87" s="66">
        <v>1.65</v>
      </c>
    </row>
    <row r="88" spans="1:3" ht="12.75">
      <c r="A88" s="496">
        <v>80</v>
      </c>
      <c r="B88" s="65">
        <v>1.85</v>
      </c>
      <c r="C88" s="66">
        <v>1.79</v>
      </c>
    </row>
    <row r="89" spans="1:3" ht="12.75">
      <c r="A89" s="496">
        <v>81</v>
      </c>
      <c r="B89" s="65">
        <v>1.51</v>
      </c>
      <c r="C89" s="66">
        <v>1.58</v>
      </c>
    </row>
    <row r="90" spans="1:3" ht="12.75">
      <c r="A90" s="496">
        <v>82</v>
      </c>
      <c r="B90" s="65">
        <v>1.84</v>
      </c>
      <c r="C90" s="66">
        <v>1.73</v>
      </c>
    </row>
    <row r="91" spans="1:3" ht="12.75">
      <c r="A91" s="496">
        <v>83</v>
      </c>
      <c r="B91" s="65">
        <v>1.77</v>
      </c>
      <c r="C91" s="66">
        <v>1.75</v>
      </c>
    </row>
    <row r="92" spans="1:3" ht="12.75">
      <c r="A92" s="496">
        <v>84</v>
      </c>
      <c r="B92" s="65">
        <v>1.87</v>
      </c>
      <c r="C92" s="66">
        <v>1.85</v>
      </c>
    </row>
    <row r="93" spans="1:3" ht="12.75">
      <c r="A93" s="497">
        <v>85</v>
      </c>
      <c r="B93" s="67">
        <v>1.5</v>
      </c>
      <c r="C93" s="68">
        <v>1.6</v>
      </c>
    </row>
    <row r="94" spans="1:3" ht="12.75">
      <c r="A94" t="s">
        <v>90</v>
      </c>
      <c r="B94" s="20">
        <f>SUM(B9:B93)</f>
        <v>143.36</v>
      </c>
      <c r="C94" s="20">
        <f>SUM(C9:C93)</f>
        <v>142.97</v>
      </c>
    </row>
    <row r="96" ht="12.75">
      <c r="A96" s="64" t="s">
        <v>75</v>
      </c>
    </row>
    <row r="97" spans="1:3" ht="12.75">
      <c r="A97" s="489"/>
      <c r="B97" s="490" t="s">
        <v>8</v>
      </c>
      <c r="C97" s="491" t="s">
        <v>8</v>
      </c>
    </row>
    <row r="98" spans="1:3" ht="13.5" thickBot="1">
      <c r="A98" s="495" t="s">
        <v>9</v>
      </c>
      <c r="B98" s="493" t="s">
        <v>10</v>
      </c>
      <c r="C98" s="494" t="s">
        <v>11</v>
      </c>
    </row>
    <row r="99" spans="1:7" ht="13.5" thickTop="1">
      <c r="A99" s="496">
        <v>10</v>
      </c>
      <c r="B99" s="18">
        <v>1.45</v>
      </c>
      <c r="C99" s="19">
        <v>1.52</v>
      </c>
      <c r="G99" s="20"/>
    </row>
    <row r="100" spans="1:8" ht="12.75">
      <c r="A100" s="496">
        <v>48</v>
      </c>
      <c r="B100" s="18">
        <v>1.45</v>
      </c>
      <c r="C100" s="19">
        <v>1.52</v>
      </c>
      <c r="G100" s="20"/>
      <c r="H100" s="20"/>
    </row>
    <row r="101" spans="1:3" ht="12.75">
      <c r="A101" s="496">
        <v>70</v>
      </c>
      <c r="B101" s="18">
        <v>1.47</v>
      </c>
      <c r="C101" s="19">
        <v>1.62</v>
      </c>
    </row>
    <row r="102" spans="1:3" ht="12.75">
      <c r="A102" s="496">
        <v>61</v>
      </c>
      <c r="B102" s="18">
        <v>1.48</v>
      </c>
      <c r="C102" s="19">
        <v>1.58</v>
      </c>
    </row>
    <row r="103" spans="1:3" ht="12.75">
      <c r="A103" s="496">
        <v>1</v>
      </c>
      <c r="B103" s="18">
        <v>1.49</v>
      </c>
      <c r="C103" s="19">
        <v>1.64</v>
      </c>
    </row>
    <row r="104" spans="1:3" ht="12.75">
      <c r="A104" s="496">
        <v>38</v>
      </c>
      <c r="B104" s="18">
        <v>1.5</v>
      </c>
      <c r="C104" s="19">
        <v>1.55</v>
      </c>
    </row>
    <row r="105" spans="1:3" ht="12.75">
      <c r="A105" s="496">
        <v>47</v>
      </c>
      <c r="B105" s="18">
        <v>1.5</v>
      </c>
      <c r="C105" s="19">
        <v>1.56</v>
      </c>
    </row>
    <row r="106" spans="1:3" ht="12.75">
      <c r="A106" s="496">
        <v>73</v>
      </c>
      <c r="B106" s="18">
        <v>1.5</v>
      </c>
      <c r="C106" s="19">
        <v>1.6</v>
      </c>
    </row>
    <row r="107" spans="1:3" ht="12.75">
      <c r="A107" s="496">
        <v>85</v>
      </c>
      <c r="B107" s="18">
        <v>1.5</v>
      </c>
      <c r="C107" s="19">
        <v>1.6</v>
      </c>
    </row>
    <row r="108" spans="1:3" ht="12.75">
      <c r="A108" s="496">
        <v>81</v>
      </c>
      <c r="B108" s="18">
        <v>1.51</v>
      </c>
      <c r="C108" s="19">
        <v>1.58</v>
      </c>
    </row>
    <row r="109" spans="1:3" ht="12.75">
      <c r="A109" s="496">
        <v>2</v>
      </c>
      <c r="B109" s="18">
        <v>1.52</v>
      </c>
      <c r="C109" s="19">
        <v>1.62</v>
      </c>
    </row>
    <row r="110" spans="1:3" ht="12.75">
      <c r="A110" s="496">
        <v>79</v>
      </c>
      <c r="B110" s="18">
        <v>1.52</v>
      </c>
      <c r="C110" s="19">
        <v>1.65</v>
      </c>
    </row>
    <row r="111" spans="1:3" ht="12.75">
      <c r="A111" s="496">
        <v>51</v>
      </c>
      <c r="B111" s="18">
        <v>1.53</v>
      </c>
      <c r="C111" s="19">
        <v>1.61</v>
      </c>
    </row>
    <row r="112" spans="1:3" ht="12.75">
      <c r="A112" s="496">
        <v>55</v>
      </c>
      <c r="B112" s="18">
        <v>1.54</v>
      </c>
      <c r="C112" s="19">
        <v>1.62</v>
      </c>
    </row>
    <row r="113" spans="1:3" ht="12.75">
      <c r="A113" s="496">
        <v>77</v>
      </c>
      <c r="B113" s="18">
        <v>1.55</v>
      </c>
      <c r="C113" s="19">
        <v>1.62</v>
      </c>
    </row>
    <row r="114" spans="1:3" ht="12.75">
      <c r="A114" s="496">
        <v>67</v>
      </c>
      <c r="B114" s="18">
        <v>1.56</v>
      </c>
      <c r="C114" s="19">
        <v>1.64</v>
      </c>
    </row>
    <row r="115" spans="1:3" ht="12.75">
      <c r="A115" s="496">
        <v>64</v>
      </c>
      <c r="B115" s="18">
        <v>1.56</v>
      </c>
      <c r="C115" s="19">
        <v>1.67</v>
      </c>
    </row>
    <row r="116" spans="1:3" ht="12.75">
      <c r="A116" s="496">
        <v>4</v>
      </c>
      <c r="B116" s="18">
        <v>1.57</v>
      </c>
      <c r="C116" s="19">
        <v>1.6</v>
      </c>
    </row>
    <row r="117" spans="1:3" ht="12.75">
      <c r="A117" s="496">
        <v>12</v>
      </c>
      <c r="B117" s="18">
        <v>1.57</v>
      </c>
      <c r="C117" s="19">
        <v>1.66</v>
      </c>
    </row>
    <row r="118" spans="1:3" ht="12.75">
      <c r="A118" s="496">
        <v>75</v>
      </c>
      <c r="B118" s="18">
        <v>1.57</v>
      </c>
      <c r="C118" s="19">
        <v>1.66</v>
      </c>
    </row>
    <row r="119" spans="1:3" ht="12.75">
      <c r="A119" s="496">
        <v>37</v>
      </c>
      <c r="B119" s="18">
        <v>1.58</v>
      </c>
      <c r="C119" s="19">
        <v>1.62</v>
      </c>
    </row>
    <row r="120" spans="1:3" ht="12.75">
      <c r="A120" s="496">
        <v>14</v>
      </c>
      <c r="B120" s="18">
        <v>1.58</v>
      </c>
      <c r="C120" s="19">
        <v>1.67</v>
      </c>
    </row>
    <row r="121" spans="1:3" ht="12.75">
      <c r="A121" s="496">
        <v>46</v>
      </c>
      <c r="B121" s="18">
        <v>1.59</v>
      </c>
      <c r="C121" s="19">
        <v>1.7</v>
      </c>
    </row>
    <row r="122" spans="1:3" ht="12.75">
      <c r="A122" s="496">
        <v>18</v>
      </c>
      <c r="B122" s="18">
        <v>1.61</v>
      </c>
      <c r="C122" s="19">
        <v>1.65</v>
      </c>
    </row>
    <row r="123" spans="1:3" ht="12.75">
      <c r="A123" s="496">
        <v>22</v>
      </c>
      <c r="B123" s="18">
        <v>1.61</v>
      </c>
      <c r="C123" s="19">
        <v>1.65</v>
      </c>
    </row>
    <row r="124" spans="1:3" ht="12.75">
      <c r="A124" s="496">
        <v>27</v>
      </c>
      <c r="B124" s="18">
        <v>1.61</v>
      </c>
      <c r="C124" s="19">
        <v>1.72</v>
      </c>
    </row>
    <row r="125" spans="1:3" ht="12.75">
      <c r="A125" s="496">
        <v>24</v>
      </c>
      <c r="B125" s="18">
        <v>1.62</v>
      </c>
      <c r="C125" s="19">
        <v>1.64</v>
      </c>
    </row>
    <row r="126" spans="1:3" ht="12.75">
      <c r="A126" s="496">
        <v>5</v>
      </c>
      <c r="B126" s="18">
        <v>1.63</v>
      </c>
      <c r="C126" s="19">
        <v>1.68</v>
      </c>
    </row>
    <row r="127" spans="1:3" ht="12.75">
      <c r="A127" s="496">
        <v>57</v>
      </c>
      <c r="B127" s="18">
        <v>1.64</v>
      </c>
      <c r="C127" s="19">
        <v>1.66</v>
      </c>
    </row>
    <row r="128" spans="1:3" ht="12.75">
      <c r="A128" s="496">
        <v>65</v>
      </c>
      <c r="B128" s="18">
        <v>1.64</v>
      </c>
      <c r="C128" s="19">
        <v>1.66</v>
      </c>
    </row>
    <row r="129" spans="1:3" ht="12.75">
      <c r="A129" s="496">
        <v>20</v>
      </c>
      <c r="B129" s="18">
        <v>1.65</v>
      </c>
      <c r="C129" s="19">
        <v>1.76</v>
      </c>
    </row>
    <row r="130" spans="1:3" ht="12.75">
      <c r="A130" s="496">
        <v>30</v>
      </c>
      <c r="B130" s="18">
        <v>1.65</v>
      </c>
      <c r="C130" s="19">
        <v>1.77</v>
      </c>
    </row>
    <row r="131" spans="1:3" ht="12.75">
      <c r="A131" s="496">
        <v>63</v>
      </c>
      <c r="B131" s="18">
        <v>1.66</v>
      </c>
      <c r="C131" s="19">
        <v>1.68</v>
      </c>
    </row>
    <row r="132" spans="1:3" ht="12.75">
      <c r="A132" s="496">
        <v>31</v>
      </c>
      <c r="B132" s="18">
        <v>1.66</v>
      </c>
      <c r="C132" s="19">
        <v>1.7</v>
      </c>
    </row>
    <row r="133" spans="1:3" ht="12.75">
      <c r="A133" s="496">
        <v>54</v>
      </c>
      <c r="B133" s="18">
        <v>1.67</v>
      </c>
      <c r="C133" s="19">
        <v>1.6</v>
      </c>
    </row>
    <row r="134" spans="1:3" ht="12.75">
      <c r="A134" s="496">
        <v>60</v>
      </c>
      <c r="B134" s="18">
        <v>1.67</v>
      </c>
      <c r="C134" s="19">
        <v>1.62</v>
      </c>
    </row>
    <row r="135" spans="1:3" ht="12.75">
      <c r="A135" s="496">
        <v>53</v>
      </c>
      <c r="B135" s="18">
        <v>1.67</v>
      </c>
      <c r="C135" s="19">
        <v>1.68</v>
      </c>
    </row>
    <row r="136" spans="1:3" ht="12.75">
      <c r="A136" s="496">
        <v>62</v>
      </c>
      <c r="B136" s="18">
        <v>1.67</v>
      </c>
      <c r="C136" s="19">
        <v>1.68</v>
      </c>
    </row>
    <row r="137" spans="1:3" ht="12.75">
      <c r="A137" s="496">
        <v>40</v>
      </c>
      <c r="B137" s="18">
        <v>1.67</v>
      </c>
      <c r="C137" s="19">
        <v>1.74</v>
      </c>
    </row>
    <row r="138" spans="1:3" ht="12.75">
      <c r="A138" s="496">
        <v>49</v>
      </c>
      <c r="B138" s="18">
        <v>1.68</v>
      </c>
      <c r="C138" s="19">
        <v>1.56</v>
      </c>
    </row>
    <row r="139" spans="1:3" ht="12.75">
      <c r="A139" s="496">
        <v>28</v>
      </c>
      <c r="B139" s="18">
        <v>1.69</v>
      </c>
      <c r="C139" s="19">
        <v>1.57</v>
      </c>
    </row>
    <row r="140" spans="1:3" ht="12.75">
      <c r="A140" s="496">
        <v>19</v>
      </c>
      <c r="B140" s="18">
        <v>1.69</v>
      </c>
      <c r="C140" s="19">
        <v>1.59</v>
      </c>
    </row>
    <row r="141" spans="1:3" ht="12.75">
      <c r="A141" s="496">
        <v>21</v>
      </c>
      <c r="B141" s="18">
        <v>1.69</v>
      </c>
      <c r="C141" s="19">
        <v>1.62</v>
      </c>
    </row>
    <row r="142" spans="1:3" ht="12.75">
      <c r="A142" s="496">
        <v>71</v>
      </c>
      <c r="B142" s="18">
        <v>1.7</v>
      </c>
      <c r="C142" s="19">
        <v>1.64</v>
      </c>
    </row>
    <row r="143" spans="1:3" ht="12.75">
      <c r="A143" s="496">
        <v>36</v>
      </c>
      <c r="B143" s="18">
        <v>1.7</v>
      </c>
      <c r="C143" s="19">
        <v>1.66</v>
      </c>
    </row>
    <row r="144" spans="1:3" ht="12.75">
      <c r="A144" s="496">
        <v>59</v>
      </c>
      <c r="B144" s="18">
        <v>1.7</v>
      </c>
      <c r="C144" s="19">
        <v>1.66</v>
      </c>
    </row>
    <row r="145" spans="1:3" ht="12.75">
      <c r="A145" s="496">
        <v>50</v>
      </c>
      <c r="B145" s="18">
        <v>1.7</v>
      </c>
      <c r="C145" s="19">
        <v>1.69</v>
      </c>
    </row>
    <row r="146" spans="1:3" ht="12.75">
      <c r="A146" s="496">
        <v>66</v>
      </c>
      <c r="B146" s="18">
        <v>1.71</v>
      </c>
      <c r="C146" s="19">
        <v>1.68</v>
      </c>
    </row>
    <row r="147" spans="1:3" ht="12.75">
      <c r="A147" s="496">
        <v>41</v>
      </c>
      <c r="B147" s="18">
        <v>1.72</v>
      </c>
      <c r="C147" s="19">
        <v>1.61</v>
      </c>
    </row>
    <row r="148" spans="1:3" ht="12.75">
      <c r="A148" s="496">
        <v>29</v>
      </c>
      <c r="B148" s="18">
        <v>1.73</v>
      </c>
      <c r="C148" s="19">
        <v>1.62</v>
      </c>
    </row>
    <row r="149" spans="1:3" ht="12.75">
      <c r="A149" s="496">
        <v>6</v>
      </c>
      <c r="B149" s="18">
        <v>1.73</v>
      </c>
      <c r="C149" s="19">
        <v>1.65</v>
      </c>
    </row>
    <row r="150" spans="1:3" ht="12.75">
      <c r="A150" s="496">
        <v>34</v>
      </c>
      <c r="B150" s="18">
        <v>1.73</v>
      </c>
      <c r="C150" s="19">
        <v>1.69</v>
      </c>
    </row>
    <row r="151" spans="1:3" ht="12.75">
      <c r="A151" s="496">
        <v>68</v>
      </c>
      <c r="B151" s="18">
        <v>1.73</v>
      </c>
      <c r="C151" s="19">
        <v>1.71</v>
      </c>
    </row>
    <row r="152" spans="1:3" ht="12.75">
      <c r="A152" s="496">
        <v>52</v>
      </c>
      <c r="B152" s="18">
        <v>1.74</v>
      </c>
      <c r="C152" s="19">
        <v>1.65</v>
      </c>
    </row>
    <row r="153" spans="1:3" ht="12.75">
      <c r="A153" s="496">
        <v>17</v>
      </c>
      <c r="B153" s="18">
        <v>1.74</v>
      </c>
      <c r="C153" s="19">
        <v>1.67</v>
      </c>
    </row>
    <row r="154" spans="1:3" ht="12.75">
      <c r="A154" s="496">
        <v>35</v>
      </c>
      <c r="B154" s="18">
        <v>1.74</v>
      </c>
      <c r="C154" s="19">
        <v>1.74</v>
      </c>
    </row>
    <row r="155" spans="1:3" ht="12.75">
      <c r="A155" s="496">
        <v>7</v>
      </c>
      <c r="B155" s="18">
        <v>1.76</v>
      </c>
      <c r="C155" s="19">
        <v>1.71</v>
      </c>
    </row>
    <row r="156" spans="1:3" ht="12.75">
      <c r="A156" s="496">
        <v>16</v>
      </c>
      <c r="B156" s="18">
        <v>1.76</v>
      </c>
      <c r="C156" s="19">
        <v>1.73</v>
      </c>
    </row>
    <row r="157" spans="1:3" ht="12.75">
      <c r="A157" s="496">
        <v>13</v>
      </c>
      <c r="B157" s="18">
        <v>1.77</v>
      </c>
      <c r="C157" s="19">
        <v>1.66</v>
      </c>
    </row>
    <row r="158" spans="1:3" ht="12.75">
      <c r="A158" s="496">
        <v>11</v>
      </c>
      <c r="B158" s="18">
        <v>1.77</v>
      </c>
      <c r="C158" s="19">
        <v>1.68</v>
      </c>
    </row>
    <row r="159" spans="1:3" ht="12.75">
      <c r="A159" s="496">
        <v>78</v>
      </c>
      <c r="B159" s="18">
        <v>1.77</v>
      </c>
      <c r="C159" s="19">
        <v>1.68</v>
      </c>
    </row>
    <row r="160" spans="1:3" ht="12.75">
      <c r="A160" s="496">
        <v>83</v>
      </c>
      <c r="B160" s="18">
        <v>1.77</v>
      </c>
      <c r="C160" s="19">
        <v>1.75</v>
      </c>
    </row>
    <row r="161" spans="1:3" ht="12.75">
      <c r="A161" s="496">
        <v>56</v>
      </c>
      <c r="B161" s="18">
        <v>1.77</v>
      </c>
      <c r="C161" s="19">
        <v>1.76</v>
      </c>
    </row>
    <row r="162" spans="1:3" ht="12.75">
      <c r="A162" s="496">
        <v>42</v>
      </c>
      <c r="B162" s="18">
        <v>1.78</v>
      </c>
      <c r="C162" s="19">
        <v>1.75</v>
      </c>
    </row>
    <row r="163" spans="1:3" ht="12.75">
      <c r="A163" s="496">
        <v>69</v>
      </c>
      <c r="B163" s="18">
        <v>1.8</v>
      </c>
      <c r="C163" s="19">
        <v>1.76</v>
      </c>
    </row>
    <row r="164" spans="1:3" ht="12.75">
      <c r="A164" s="496">
        <v>58</v>
      </c>
      <c r="B164" s="18">
        <v>1.81</v>
      </c>
      <c r="C164" s="19">
        <v>1.7</v>
      </c>
    </row>
    <row r="165" spans="1:3" ht="12.75">
      <c r="A165" s="496">
        <v>3</v>
      </c>
      <c r="B165" s="18">
        <v>1.81</v>
      </c>
      <c r="C165" s="19">
        <v>1.78</v>
      </c>
    </row>
    <row r="166" spans="1:3" ht="12.75">
      <c r="A166" s="496">
        <v>39</v>
      </c>
      <c r="B166" s="18">
        <v>1.82</v>
      </c>
      <c r="C166" s="19">
        <v>1.72</v>
      </c>
    </row>
    <row r="167" spans="1:3" ht="12.75">
      <c r="A167" s="496">
        <v>76</v>
      </c>
      <c r="B167" s="18">
        <v>1.82</v>
      </c>
      <c r="C167" s="19">
        <v>1.74</v>
      </c>
    </row>
    <row r="168" spans="1:3" ht="12.75">
      <c r="A168" s="496">
        <v>74</v>
      </c>
      <c r="B168" s="18">
        <v>1.82</v>
      </c>
      <c r="C168" s="19">
        <v>1.77</v>
      </c>
    </row>
    <row r="169" spans="1:3" ht="12.75">
      <c r="A169" s="496">
        <v>25</v>
      </c>
      <c r="B169" s="18">
        <v>1.82</v>
      </c>
      <c r="C169" s="19">
        <v>1.79</v>
      </c>
    </row>
    <row r="170" spans="1:3" ht="12.75">
      <c r="A170" s="496">
        <v>32</v>
      </c>
      <c r="B170" s="18">
        <v>1.83</v>
      </c>
      <c r="C170" s="19">
        <v>1.74</v>
      </c>
    </row>
    <row r="171" spans="1:3" ht="12.75">
      <c r="A171" s="496">
        <v>45</v>
      </c>
      <c r="B171" s="18">
        <v>1.83</v>
      </c>
      <c r="C171" s="19">
        <v>1.83</v>
      </c>
    </row>
    <row r="172" spans="1:3" ht="12.75">
      <c r="A172" s="496">
        <v>82</v>
      </c>
      <c r="B172" s="18">
        <v>1.84</v>
      </c>
      <c r="C172" s="19">
        <v>1.73</v>
      </c>
    </row>
    <row r="173" spans="1:3" ht="12.75">
      <c r="A173" s="496">
        <v>44</v>
      </c>
      <c r="B173" s="18">
        <v>1.84</v>
      </c>
      <c r="C173" s="19">
        <v>1.76</v>
      </c>
    </row>
    <row r="174" spans="1:3" ht="12.75">
      <c r="A174" s="496">
        <v>8</v>
      </c>
      <c r="B174" s="18">
        <v>1.84</v>
      </c>
      <c r="C174" s="19">
        <v>1.8</v>
      </c>
    </row>
    <row r="175" spans="1:3" ht="12.75">
      <c r="A175" s="496">
        <v>43</v>
      </c>
      <c r="B175" s="18">
        <v>1.85</v>
      </c>
      <c r="C175" s="19">
        <v>1.72</v>
      </c>
    </row>
    <row r="176" spans="1:3" ht="12.75">
      <c r="A176" s="496">
        <v>23</v>
      </c>
      <c r="B176" s="18">
        <v>1.85</v>
      </c>
      <c r="C176" s="19">
        <v>1.73</v>
      </c>
    </row>
    <row r="177" spans="1:3" ht="12.75">
      <c r="A177" s="496">
        <v>80</v>
      </c>
      <c r="B177" s="18">
        <v>1.85</v>
      </c>
      <c r="C177" s="19">
        <v>1.79</v>
      </c>
    </row>
    <row r="178" spans="1:3" ht="12.75">
      <c r="A178" s="496">
        <v>9</v>
      </c>
      <c r="B178" s="18">
        <v>1.86</v>
      </c>
      <c r="C178" s="19">
        <v>1.73</v>
      </c>
    </row>
    <row r="179" spans="1:3" ht="12.75">
      <c r="A179" s="496">
        <v>26</v>
      </c>
      <c r="B179" s="18">
        <v>1.87</v>
      </c>
      <c r="C179" s="19">
        <v>1.82</v>
      </c>
    </row>
    <row r="180" spans="1:3" ht="12.75">
      <c r="A180" s="496">
        <v>84</v>
      </c>
      <c r="B180" s="18">
        <v>1.87</v>
      </c>
      <c r="C180" s="19">
        <v>1.85</v>
      </c>
    </row>
    <row r="181" spans="1:3" ht="12.75">
      <c r="A181" s="496">
        <v>33</v>
      </c>
      <c r="B181" s="18">
        <v>1.88</v>
      </c>
      <c r="C181" s="19">
        <v>1.78</v>
      </c>
    </row>
    <row r="182" spans="1:5" ht="12.75">
      <c r="A182" s="496">
        <v>15</v>
      </c>
      <c r="B182" s="18">
        <v>1.88</v>
      </c>
      <c r="C182" s="19">
        <v>1.83</v>
      </c>
      <c r="D182" s="20"/>
      <c r="E182" s="20"/>
    </row>
    <row r="183" spans="1:5" ht="12.75">
      <c r="A183" s="497">
        <v>72</v>
      </c>
      <c r="B183" s="22">
        <v>1.88</v>
      </c>
      <c r="C183" s="23">
        <v>1.87</v>
      </c>
      <c r="D183" s="20"/>
      <c r="E183" s="20"/>
    </row>
    <row r="184" spans="1:5" ht="12.75">
      <c r="A184" s="56"/>
      <c r="B184" s="69">
        <f>SUM(B99:B183)</f>
        <v>143.35999999999999</v>
      </c>
      <c r="C184" s="69">
        <f>SUM(C99:C183)</f>
        <v>142.97</v>
      </c>
      <c r="D184" s="20"/>
      <c r="E184" s="20"/>
    </row>
    <row r="185" spans="1:5" ht="12.75">
      <c r="A185" s="56"/>
      <c r="B185" s="69"/>
      <c r="C185" s="69"/>
      <c r="D185" s="20"/>
      <c r="E185" s="20"/>
    </row>
    <row r="209" ht="12.75">
      <c r="B209" s="64" t="s">
        <v>77</v>
      </c>
    </row>
    <row r="211" ht="12.75">
      <c r="A211" s="64" t="s">
        <v>76</v>
      </c>
    </row>
    <row r="212" spans="1:3" ht="12.75">
      <c r="A212" s="489" t="s">
        <v>78</v>
      </c>
      <c r="B212" s="24"/>
      <c r="C212" s="37">
        <v>1.67</v>
      </c>
    </row>
    <row r="213" spans="1:3" ht="12.75">
      <c r="A213" s="498" t="s">
        <v>79</v>
      </c>
      <c r="B213" s="6"/>
      <c r="C213" s="28">
        <v>1.615</v>
      </c>
    </row>
    <row r="214" spans="1:3" ht="12.75">
      <c r="A214" s="498" t="s">
        <v>80</v>
      </c>
      <c r="B214" s="6"/>
      <c r="C214" s="70">
        <v>1.6</v>
      </c>
    </row>
    <row r="215" spans="1:3" ht="12.75">
      <c r="A215" s="498" t="s">
        <v>81</v>
      </c>
      <c r="B215" s="6"/>
      <c r="C215" s="70">
        <v>1.5</v>
      </c>
    </row>
    <row r="216" spans="1:3" ht="12.75">
      <c r="A216" s="499" t="s">
        <v>82</v>
      </c>
      <c r="B216" s="10"/>
      <c r="C216" s="71">
        <f>(C212-C213)/(C214-C215)</f>
        <v>0.5499999999999989</v>
      </c>
    </row>
    <row r="219" spans="1:3" ht="13.5" thickBot="1">
      <c r="A219" s="72" t="s">
        <v>84</v>
      </c>
      <c r="B219" s="3"/>
      <c r="C219" s="35"/>
    </row>
    <row r="220" spans="1:3" ht="13.5" thickTop="1">
      <c r="A220" s="498" t="s">
        <v>83</v>
      </c>
      <c r="B220" s="6"/>
      <c r="C220" s="73">
        <f>INTERCEPT($C$9:$C$93,$B$9:$B$93)</f>
        <v>0.8580894913430427</v>
      </c>
    </row>
    <row r="221" spans="1:3" ht="12.75">
      <c r="A221" s="499" t="s">
        <v>5</v>
      </c>
      <c r="B221" s="10"/>
      <c r="C221" s="74">
        <f>SLOPE($C$9:$C$93,$B$9:$B$93)</f>
        <v>0.4885072072812595</v>
      </c>
    </row>
    <row r="222" spans="3:4" ht="12.75">
      <c r="C222" s="20"/>
      <c r="D222" s="20"/>
    </row>
    <row r="223" spans="3:4" ht="12.75">
      <c r="C223" s="20"/>
      <c r="D223" s="20"/>
    </row>
    <row r="224" spans="1:4" ht="12.75">
      <c r="A224" s="64" t="s">
        <v>287</v>
      </c>
      <c r="C224" s="20"/>
      <c r="D224" s="20"/>
    </row>
    <row r="225" spans="1:8" ht="12.75">
      <c r="A225" s="489"/>
      <c r="B225" s="490" t="s">
        <v>8</v>
      </c>
      <c r="C225" s="491" t="s">
        <v>8</v>
      </c>
      <c r="D225" s="500" t="s">
        <v>8</v>
      </c>
      <c r="E225" s="490" t="s">
        <v>85</v>
      </c>
      <c r="F225" s="501" t="s">
        <v>86</v>
      </c>
      <c r="H225" s="78"/>
    </row>
    <row r="226" spans="1:6" ht="13.5" thickBot="1">
      <c r="A226" s="495" t="s">
        <v>9</v>
      </c>
      <c r="B226" s="493" t="s">
        <v>10</v>
      </c>
      <c r="C226" s="494" t="s">
        <v>11</v>
      </c>
      <c r="D226" s="502" t="s">
        <v>87</v>
      </c>
      <c r="E226" s="493" t="s">
        <v>88</v>
      </c>
      <c r="F226" s="494" t="s">
        <v>89</v>
      </c>
    </row>
    <row r="227" spans="1:6" ht="13.5" thickTop="1">
      <c r="A227" s="496">
        <v>10</v>
      </c>
      <c r="B227" s="86">
        <v>1.45</v>
      </c>
      <c r="C227" s="87">
        <v>1.52</v>
      </c>
      <c r="D227" s="79">
        <f>$C$220+$C$221*B227</f>
        <v>1.566424941900869</v>
      </c>
      <c r="E227" s="85">
        <f>(C227-D227)</f>
        <v>-0.04642494190086888</v>
      </c>
      <c r="F227" s="80">
        <f>E227^2</f>
        <v>0.0021552752304990507</v>
      </c>
    </row>
    <row r="228" spans="1:6" ht="12.75">
      <c r="A228" s="496">
        <v>48</v>
      </c>
      <c r="B228" s="18">
        <v>1.45</v>
      </c>
      <c r="C228" s="19">
        <v>1.52</v>
      </c>
      <c r="D228" s="79">
        <f aca="true" t="shared" si="0" ref="D228:D291">$C$220+$C$221*B228</f>
        <v>1.566424941900869</v>
      </c>
      <c r="E228" s="39">
        <f aca="true" t="shared" si="1" ref="E228:E291">(C228-D228)</f>
        <v>-0.04642494190086888</v>
      </c>
      <c r="F228" s="80">
        <f aca="true" t="shared" si="2" ref="F228:F291">E228^2</f>
        <v>0.0021552752304990507</v>
      </c>
    </row>
    <row r="229" spans="1:6" ht="12.75">
      <c r="A229" s="496">
        <v>70</v>
      </c>
      <c r="B229" s="18">
        <v>1.47</v>
      </c>
      <c r="C229" s="19">
        <v>1.62</v>
      </c>
      <c r="D229" s="79">
        <f t="shared" si="0"/>
        <v>1.5761950860464942</v>
      </c>
      <c r="E229" s="39">
        <f t="shared" si="1"/>
        <v>0.04380491395350594</v>
      </c>
      <c r="F229" s="80">
        <f t="shared" si="2"/>
        <v>0.0019188704864740596</v>
      </c>
    </row>
    <row r="230" spans="1:6" ht="12.75">
      <c r="A230" s="496">
        <v>61</v>
      </c>
      <c r="B230" s="18">
        <v>1.48</v>
      </c>
      <c r="C230" s="19">
        <v>1.58</v>
      </c>
      <c r="D230" s="79">
        <f t="shared" si="0"/>
        <v>1.5810801581193068</v>
      </c>
      <c r="E230" s="39">
        <f t="shared" si="1"/>
        <v>-0.001080158119306729</v>
      </c>
      <c r="F230" s="80">
        <f t="shared" si="2"/>
        <v>1.1667415627042496E-06</v>
      </c>
    </row>
    <row r="231" spans="1:6" ht="12.75">
      <c r="A231" s="496">
        <v>1</v>
      </c>
      <c r="B231" s="18">
        <v>1.49</v>
      </c>
      <c r="C231" s="19">
        <v>1.64</v>
      </c>
      <c r="D231" s="79">
        <f t="shared" si="0"/>
        <v>1.5859652301921194</v>
      </c>
      <c r="E231" s="39">
        <f t="shared" si="1"/>
        <v>0.05403476980788047</v>
      </c>
      <c r="F231" s="80">
        <f t="shared" si="2"/>
        <v>0.0029197563481906303</v>
      </c>
    </row>
    <row r="232" spans="1:6" ht="12.75">
      <c r="A232" s="496">
        <v>38</v>
      </c>
      <c r="B232" s="18">
        <v>1.5</v>
      </c>
      <c r="C232" s="19">
        <v>1.55</v>
      </c>
      <c r="D232" s="79">
        <f t="shared" si="0"/>
        <v>1.5908503022649318</v>
      </c>
      <c r="E232" s="39">
        <f t="shared" si="1"/>
        <v>-0.040850302264931804</v>
      </c>
      <c r="F232" s="80">
        <f t="shared" si="2"/>
        <v>0.0016687471951362925</v>
      </c>
    </row>
    <row r="233" spans="1:6" ht="12.75">
      <c r="A233" s="496">
        <v>47</v>
      </c>
      <c r="B233" s="18">
        <v>1.5</v>
      </c>
      <c r="C233" s="19">
        <v>1.56</v>
      </c>
      <c r="D233" s="79">
        <f t="shared" si="0"/>
        <v>1.5908503022649318</v>
      </c>
      <c r="E233" s="39">
        <f t="shared" si="1"/>
        <v>-0.030850302264931795</v>
      </c>
      <c r="F233" s="80">
        <f t="shared" si="2"/>
        <v>0.0009517411498376558</v>
      </c>
    </row>
    <row r="234" spans="1:6" ht="12.75">
      <c r="A234" s="496">
        <v>73</v>
      </c>
      <c r="B234" s="18">
        <v>1.5</v>
      </c>
      <c r="C234" s="19">
        <v>1.6</v>
      </c>
      <c r="D234" s="79">
        <f t="shared" si="0"/>
        <v>1.5908503022649318</v>
      </c>
      <c r="E234" s="39">
        <f t="shared" si="1"/>
        <v>0.00914969773506824</v>
      </c>
      <c r="F234" s="80">
        <f t="shared" si="2"/>
        <v>8.37169686431129E-05</v>
      </c>
    </row>
    <row r="235" spans="1:6" ht="12.75">
      <c r="A235" s="496">
        <v>85</v>
      </c>
      <c r="B235" s="18">
        <v>1.5</v>
      </c>
      <c r="C235" s="19">
        <v>1.6</v>
      </c>
      <c r="D235" s="79">
        <f t="shared" si="0"/>
        <v>1.5908503022649318</v>
      </c>
      <c r="E235" s="39">
        <f t="shared" si="1"/>
        <v>0.00914969773506824</v>
      </c>
      <c r="F235" s="80">
        <f t="shared" si="2"/>
        <v>8.37169686431129E-05</v>
      </c>
    </row>
    <row r="236" spans="1:6" ht="12.75">
      <c r="A236" s="496">
        <v>81</v>
      </c>
      <c r="B236" s="18">
        <v>1.51</v>
      </c>
      <c r="C236" s="19">
        <v>1.58</v>
      </c>
      <c r="D236" s="79">
        <f t="shared" si="0"/>
        <v>1.5957353743377447</v>
      </c>
      <c r="E236" s="39">
        <f t="shared" si="1"/>
        <v>-0.015735374337744634</v>
      </c>
      <c r="F236" s="80">
        <f t="shared" si="2"/>
        <v>0.0002476020055489524</v>
      </c>
    </row>
    <row r="237" spans="1:6" ht="12.75">
      <c r="A237" s="496">
        <v>2</v>
      </c>
      <c r="B237" s="18">
        <v>1.52</v>
      </c>
      <c r="C237" s="19">
        <v>1.62</v>
      </c>
      <c r="D237" s="79">
        <f t="shared" si="0"/>
        <v>1.6006204464105571</v>
      </c>
      <c r="E237" s="39">
        <f t="shared" si="1"/>
        <v>0.019379553589442988</v>
      </c>
      <c r="F237" s="80">
        <f t="shared" si="2"/>
        <v>0.0003755670973260926</v>
      </c>
    </row>
    <row r="238" spans="1:6" ht="12.75">
      <c r="A238" s="496">
        <v>79</v>
      </c>
      <c r="B238" s="18">
        <v>1.52</v>
      </c>
      <c r="C238" s="19">
        <v>1.65</v>
      </c>
      <c r="D238" s="79">
        <f t="shared" si="0"/>
        <v>1.6006204464105571</v>
      </c>
      <c r="E238" s="39">
        <f t="shared" si="1"/>
        <v>0.04937955358944279</v>
      </c>
      <c r="F238" s="80">
        <f t="shared" si="2"/>
        <v>0.002438340312692653</v>
      </c>
    </row>
    <row r="239" spans="1:6" ht="12.75">
      <c r="A239" s="496">
        <v>51</v>
      </c>
      <c r="B239" s="18">
        <v>1.53</v>
      </c>
      <c r="C239" s="19">
        <v>1.61</v>
      </c>
      <c r="D239" s="79">
        <f t="shared" si="0"/>
        <v>1.6055055184833698</v>
      </c>
      <c r="E239" s="39">
        <f t="shared" si="1"/>
        <v>0.004494481516630344</v>
      </c>
      <c r="F239" s="80">
        <f t="shared" si="2"/>
        <v>2.0200364103331798E-05</v>
      </c>
    </row>
    <row r="240" spans="1:6" ht="12.75">
      <c r="A240" s="496">
        <v>55</v>
      </c>
      <c r="B240" s="18">
        <v>1.54</v>
      </c>
      <c r="C240" s="19">
        <v>1.62</v>
      </c>
      <c r="D240" s="79">
        <f t="shared" si="0"/>
        <v>1.6103905905561824</v>
      </c>
      <c r="E240" s="39">
        <f t="shared" si="1"/>
        <v>0.009609409443817718</v>
      </c>
      <c r="F240" s="80">
        <f t="shared" si="2"/>
        <v>9.234074985893314E-05</v>
      </c>
    </row>
    <row r="241" spans="1:6" ht="12.75">
      <c r="A241" s="496">
        <v>77</v>
      </c>
      <c r="B241" s="18">
        <v>1.55</v>
      </c>
      <c r="C241" s="19">
        <v>1.62</v>
      </c>
      <c r="D241" s="79">
        <f t="shared" si="0"/>
        <v>1.6152756626289948</v>
      </c>
      <c r="E241" s="39">
        <f t="shared" si="1"/>
        <v>0.004724337371005305</v>
      </c>
      <c r="F241" s="80">
        <f t="shared" si="2"/>
        <v>2.2319363595077316E-05</v>
      </c>
    </row>
    <row r="242" spans="1:6" ht="12.75">
      <c r="A242" s="496">
        <v>67</v>
      </c>
      <c r="B242" s="18">
        <v>1.56</v>
      </c>
      <c r="C242" s="19">
        <v>1.64</v>
      </c>
      <c r="D242" s="79">
        <f t="shared" si="0"/>
        <v>1.6201607347018077</v>
      </c>
      <c r="E242" s="39">
        <f t="shared" si="1"/>
        <v>0.019839265298192243</v>
      </c>
      <c r="F242" s="80">
        <f t="shared" si="2"/>
        <v>0.00039359644757205496</v>
      </c>
    </row>
    <row r="243" spans="1:6" ht="12.75">
      <c r="A243" s="496">
        <v>64</v>
      </c>
      <c r="B243" s="18">
        <v>1.56</v>
      </c>
      <c r="C243" s="19">
        <v>1.67</v>
      </c>
      <c r="D243" s="79">
        <f t="shared" si="0"/>
        <v>1.6201607347018077</v>
      </c>
      <c r="E243" s="39">
        <f t="shared" si="1"/>
        <v>0.04983926529819227</v>
      </c>
      <c r="F243" s="80">
        <f t="shared" si="2"/>
        <v>0.0024839523654635923</v>
      </c>
    </row>
    <row r="244" spans="1:6" ht="12.75">
      <c r="A244" s="496">
        <v>4</v>
      </c>
      <c r="B244" s="18">
        <v>1.57</v>
      </c>
      <c r="C244" s="19">
        <v>1.6</v>
      </c>
      <c r="D244" s="79">
        <f t="shared" si="0"/>
        <v>1.62504580677462</v>
      </c>
      <c r="E244" s="39">
        <f t="shared" si="1"/>
        <v>-0.025045806774619983</v>
      </c>
      <c r="F244" s="80">
        <f t="shared" si="2"/>
        <v>0.0006272924369916002</v>
      </c>
    </row>
    <row r="245" spans="1:6" ht="12.75">
      <c r="A245" s="496">
        <v>12</v>
      </c>
      <c r="B245" s="18">
        <v>1.57</v>
      </c>
      <c r="C245" s="19">
        <v>1.66</v>
      </c>
      <c r="D245" s="79">
        <f t="shared" si="0"/>
        <v>1.62504580677462</v>
      </c>
      <c r="E245" s="39">
        <f t="shared" si="1"/>
        <v>0.03495419322537985</v>
      </c>
      <c r="F245" s="80">
        <f t="shared" si="2"/>
        <v>0.0012217956240371905</v>
      </c>
    </row>
    <row r="246" spans="1:6" ht="12.75">
      <c r="A246" s="496">
        <v>75</v>
      </c>
      <c r="B246" s="18">
        <v>1.57</v>
      </c>
      <c r="C246" s="19">
        <v>1.66</v>
      </c>
      <c r="D246" s="79">
        <f t="shared" si="0"/>
        <v>1.62504580677462</v>
      </c>
      <c r="E246" s="39">
        <f t="shared" si="1"/>
        <v>0.03495419322537985</v>
      </c>
      <c r="F246" s="80">
        <f t="shared" si="2"/>
        <v>0.0012217956240371905</v>
      </c>
    </row>
    <row r="247" spans="1:6" ht="12.75">
      <c r="A247" s="496">
        <v>37</v>
      </c>
      <c r="B247" s="18">
        <v>1.58</v>
      </c>
      <c r="C247" s="19">
        <v>1.62</v>
      </c>
      <c r="D247" s="79">
        <f t="shared" si="0"/>
        <v>1.6299308788474327</v>
      </c>
      <c r="E247" s="39">
        <f t="shared" si="1"/>
        <v>-0.0099308788474326</v>
      </c>
      <c r="F247" s="80">
        <f t="shared" si="2"/>
        <v>9.862235468238426E-05</v>
      </c>
    </row>
    <row r="248" spans="1:6" ht="12.75">
      <c r="A248" s="496">
        <v>14</v>
      </c>
      <c r="B248" s="18">
        <v>1.58</v>
      </c>
      <c r="C248" s="19">
        <v>1.67</v>
      </c>
      <c r="D248" s="79">
        <f t="shared" si="0"/>
        <v>1.6299308788474327</v>
      </c>
      <c r="E248" s="39">
        <f t="shared" si="1"/>
        <v>0.04006912115256722</v>
      </c>
      <c r="F248" s="80">
        <f t="shared" si="2"/>
        <v>0.00160553446993911</v>
      </c>
    </row>
    <row r="249" spans="1:6" ht="12.75">
      <c r="A249" s="496">
        <v>46</v>
      </c>
      <c r="B249" s="18">
        <v>1.59</v>
      </c>
      <c r="C249" s="19">
        <v>1.7</v>
      </c>
      <c r="D249" s="79">
        <f t="shared" si="0"/>
        <v>1.6348159509202453</v>
      </c>
      <c r="E249" s="39">
        <f t="shared" si="1"/>
        <v>0.06518404907975461</v>
      </c>
      <c r="F249" s="80">
        <f t="shared" si="2"/>
        <v>0.004248960254431858</v>
      </c>
    </row>
    <row r="250" spans="1:6" ht="12.75">
      <c r="A250" s="496">
        <v>18</v>
      </c>
      <c r="B250" s="18">
        <v>1.61</v>
      </c>
      <c r="C250" s="19">
        <v>1.65</v>
      </c>
      <c r="D250" s="79">
        <f t="shared" si="0"/>
        <v>1.6445860950658706</v>
      </c>
      <c r="E250" s="39">
        <f t="shared" si="1"/>
        <v>0.005413904934129299</v>
      </c>
      <c r="F250" s="80">
        <f t="shared" si="2"/>
        <v>2.9310366635789568E-05</v>
      </c>
    </row>
    <row r="251" spans="1:6" ht="12.75">
      <c r="A251" s="496">
        <v>22</v>
      </c>
      <c r="B251" s="18">
        <v>1.61</v>
      </c>
      <c r="C251" s="19">
        <v>1.65</v>
      </c>
      <c r="D251" s="79">
        <f t="shared" si="0"/>
        <v>1.6445860950658706</v>
      </c>
      <c r="E251" s="39">
        <f t="shared" si="1"/>
        <v>0.005413904934129299</v>
      </c>
      <c r="F251" s="80">
        <f t="shared" si="2"/>
        <v>2.9310366635789568E-05</v>
      </c>
    </row>
    <row r="252" spans="1:6" ht="12.75">
      <c r="A252" s="496">
        <v>27</v>
      </c>
      <c r="B252" s="18">
        <v>1.61</v>
      </c>
      <c r="C252" s="19">
        <v>1.72</v>
      </c>
      <c r="D252" s="79">
        <f t="shared" si="0"/>
        <v>1.6445860950658706</v>
      </c>
      <c r="E252" s="39">
        <f t="shared" si="1"/>
        <v>0.07541390493412936</v>
      </c>
      <c r="F252" s="80">
        <f t="shared" si="2"/>
        <v>0.005687257057413901</v>
      </c>
    </row>
    <row r="253" spans="1:6" ht="12.75">
      <c r="A253" s="496">
        <v>24</v>
      </c>
      <c r="B253" s="18">
        <v>1.62</v>
      </c>
      <c r="C253" s="19">
        <v>1.64</v>
      </c>
      <c r="D253" s="79">
        <f t="shared" si="0"/>
        <v>1.649471167138683</v>
      </c>
      <c r="E253" s="39">
        <f t="shared" si="1"/>
        <v>-0.009471167138683123</v>
      </c>
      <c r="F253" s="80">
        <f t="shared" si="2"/>
        <v>8.970300696887106E-05</v>
      </c>
    </row>
    <row r="254" spans="1:6" ht="12.75">
      <c r="A254" s="496">
        <v>5</v>
      </c>
      <c r="B254" s="18">
        <v>1.63</v>
      </c>
      <c r="C254" s="19">
        <v>1.68</v>
      </c>
      <c r="D254" s="79">
        <f t="shared" si="0"/>
        <v>1.6543562392114957</v>
      </c>
      <c r="E254" s="39">
        <f t="shared" si="1"/>
        <v>0.025643760788504277</v>
      </c>
      <c r="F254" s="80">
        <f t="shared" si="2"/>
        <v>0.0006576024673780295</v>
      </c>
    </row>
    <row r="255" spans="1:6" ht="12.75">
      <c r="A255" s="496">
        <v>57</v>
      </c>
      <c r="B255" s="18">
        <v>1.64</v>
      </c>
      <c r="C255" s="19">
        <v>1.66</v>
      </c>
      <c r="D255" s="79">
        <f t="shared" si="0"/>
        <v>1.6592413112843083</v>
      </c>
      <c r="E255" s="39">
        <f t="shared" si="1"/>
        <v>0.0007586887156916244</v>
      </c>
      <c r="F255" s="80">
        <f t="shared" si="2"/>
        <v>5.756085673178065E-07</v>
      </c>
    </row>
    <row r="256" spans="1:6" ht="12.75">
      <c r="A256" s="496">
        <v>65</v>
      </c>
      <c r="B256" s="18">
        <v>1.64</v>
      </c>
      <c r="C256" s="19">
        <v>1.66</v>
      </c>
      <c r="D256" s="79">
        <f t="shared" si="0"/>
        <v>1.6592413112843083</v>
      </c>
      <c r="E256" s="39">
        <f t="shared" si="1"/>
        <v>0.0007586887156916244</v>
      </c>
      <c r="F256" s="80">
        <f t="shared" si="2"/>
        <v>5.756085673178065E-07</v>
      </c>
    </row>
    <row r="257" spans="1:6" ht="12.75">
      <c r="A257" s="496">
        <v>20</v>
      </c>
      <c r="B257" s="18">
        <v>1.65</v>
      </c>
      <c r="C257" s="19">
        <v>1.76</v>
      </c>
      <c r="D257" s="79">
        <f t="shared" si="0"/>
        <v>1.6641263833571207</v>
      </c>
      <c r="E257" s="39">
        <f t="shared" si="1"/>
        <v>0.0958736166428793</v>
      </c>
      <c r="F257" s="80">
        <f t="shared" si="2"/>
        <v>0.009191750368185782</v>
      </c>
    </row>
    <row r="258" spans="1:6" ht="12.75">
      <c r="A258" s="496">
        <v>30</v>
      </c>
      <c r="B258" s="18">
        <v>1.65</v>
      </c>
      <c r="C258" s="19">
        <v>1.77</v>
      </c>
      <c r="D258" s="79">
        <f t="shared" si="0"/>
        <v>1.6641263833571207</v>
      </c>
      <c r="E258" s="39">
        <f t="shared" si="1"/>
        <v>0.10587361664287931</v>
      </c>
      <c r="F258" s="80">
        <f t="shared" si="2"/>
        <v>0.01120922270104337</v>
      </c>
    </row>
    <row r="259" spans="1:6" ht="12.75">
      <c r="A259" s="496">
        <v>63</v>
      </c>
      <c r="B259" s="18">
        <v>1.66</v>
      </c>
      <c r="C259" s="19">
        <v>1.68</v>
      </c>
      <c r="D259" s="79">
        <f t="shared" si="0"/>
        <v>1.6690114554299336</v>
      </c>
      <c r="E259" s="39">
        <f t="shared" si="1"/>
        <v>0.010988544570066372</v>
      </c>
      <c r="F259" s="80">
        <f t="shared" si="2"/>
        <v>0.00012074811176833515</v>
      </c>
    </row>
    <row r="260" spans="1:6" ht="12.75">
      <c r="A260" s="496">
        <v>31</v>
      </c>
      <c r="B260" s="18">
        <v>1.66</v>
      </c>
      <c r="C260" s="19">
        <v>1.7</v>
      </c>
      <c r="D260" s="79">
        <f t="shared" si="0"/>
        <v>1.6690114554299336</v>
      </c>
      <c r="E260" s="39">
        <f t="shared" si="1"/>
        <v>0.03098854457006639</v>
      </c>
      <c r="F260" s="80">
        <f t="shared" si="2"/>
        <v>0.0009602898945709911</v>
      </c>
    </row>
    <row r="261" spans="1:6" ht="12.75">
      <c r="A261" s="496">
        <v>54</v>
      </c>
      <c r="B261" s="18">
        <v>1.67</v>
      </c>
      <c r="C261" s="19">
        <v>1.6</v>
      </c>
      <c r="D261" s="79">
        <f t="shared" si="0"/>
        <v>1.673896527502746</v>
      </c>
      <c r="E261" s="39">
        <f t="shared" si="1"/>
        <v>-0.07389652750274589</v>
      </c>
      <c r="F261" s="80">
        <f t="shared" si="2"/>
        <v>0.00546069677696408</v>
      </c>
    </row>
    <row r="262" spans="1:6" ht="12.75">
      <c r="A262" s="496">
        <v>60</v>
      </c>
      <c r="B262" s="18">
        <v>1.67</v>
      </c>
      <c r="C262" s="19">
        <v>1.62</v>
      </c>
      <c r="D262" s="79">
        <f t="shared" si="0"/>
        <v>1.673896527502746</v>
      </c>
      <c r="E262" s="39">
        <f t="shared" si="1"/>
        <v>-0.05389652750274587</v>
      </c>
      <c r="F262" s="80">
        <f t="shared" si="2"/>
        <v>0.002904835676854242</v>
      </c>
    </row>
    <row r="263" spans="1:6" ht="12.75">
      <c r="A263" s="496">
        <v>53</v>
      </c>
      <c r="B263" s="18">
        <v>1.67</v>
      </c>
      <c r="C263" s="19">
        <v>1.68</v>
      </c>
      <c r="D263" s="79">
        <f t="shared" si="0"/>
        <v>1.673896527502746</v>
      </c>
      <c r="E263" s="39">
        <f t="shared" si="1"/>
        <v>0.006103472497253959</v>
      </c>
      <c r="F263" s="80">
        <f t="shared" si="2"/>
        <v>3.725237652473548E-05</v>
      </c>
    </row>
    <row r="264" spans="1:6" ht="12.75">
      <c r="A264" s="496">
        <v>62</v>
      </c>
      <c r="B264" s="18">
        <v>1.67</v>
      </c>
      <c r="C264" s="19">
        <v>1.68</v>
      </c>
      <c r="D264" s="79">
        <f t="shared" si="0"/>
        <v>1.673896527502746</v>
      </c>
      <c r="E264" s="39">
        <f t="shared" si="1"/>
        <v>0.006103472497253959</v>
      </c>
      <c r="F264" s="80">
        <f t="shared" si="2"/>
        <v>3.725237652473548E-05</v>
      </c>
    </row>
    <row r="265" spans="1:6" ht="12.75">
      <c r="A265" s="496">
        <v>40</v>
      </c>
      <c r="B265" s="18">
        <v>1.67</v>
      </c>
      <c r="C265" s="19">
        <v>1.74</v>
      </c>
      <c r="D265" s="79">
        <f t="shared" si="0"/>
        <v>1.673896527502746</v>
      </c>
      <c r="E265" s="39">
        <f t="shared" si="1"/>
        <v>0.06610347249725401</v>
      </c>
      <c r="F265" s="80">
        <f t="shared" si="2"/>
        <v>0.004369669076195217</v>
      </c>
    </row>
    <row r="266" spans="1:6" ht="12.75">
      <c r="A266" s="496">
        <v>49</v>
      </c>
      <c r="B266" s="18">
        <v>1.68</v>
      </c>
      <c r="C266" s="19">
        <v>1.56</v>
      </c>
      <c r="D266" s="79">
        <f t="shared" si="0"/>
        <v>1.6787815995755586</v>
      </c>
      <c r="E266" s="39">
        <f t="shared" si="1"/>
        <v>-0.11878159957555856</v>
      </c>
      <c r="F266" s="80">
        <f t="shared" si="2"/>
        <v>0.014109068397728334</v>
      </c>
    </row>
    <row r="267" spans="1:6" ht="12.75">
      <c r="A267" s="496">
        <v>28</v>
      </c>
      <c r="B267" s="18">
        <v>1.69</v>
      </c>
      <c r="C267" s="19">
        <v>1.57</v>
      </c>
      <c r="D267" s="79">
        <f t="shared" si="0"/>
        <v>1.6836666716483712</v>
      </c>
      <c r="E267" s="39">
        <f t="shared" si="1"/>
        <v>-0.11366667164837119</v>
      </c>
      <c r="F267" s="80">
        <f t="shared" si="2"/>
        <v>0.01292011224361863</v>
      </c>
    </row>
    <row r="268" spans="1:6" ht="12.75">
      <c r="A268" s="496">
        <v>19</v>
      </c>
      <c r="B268" s="18">
        <v>1.69</v>
      </c>
      <c r="C268" s="19">
        <v>1.59</v>
      </c>
      <c r="D268" s="79">
        <f t="shared" si="0"/>
        <v>1.6836666716483712</v>
      </c>
      <c r="E268" s="39">
        <f t="shared" si="1"/>
        <v>-0.09366667164837117</v>
      </c>
      <c r="F268" s="80">
        <f t="shared" si="2"/>
        <v>0.00877344537768378</v>
      </c>
    </row>
    <row r="269" spans="1:6" ht="12.75">
      <c r="A269" s="496">
        <v>21</v>
      </c>
      <c r="B269" s="18">
        <v>1.69</v>
      </c>
      <c r="C269" s="19">
        <v>1.62</v>
      </c>
      <c r="D269" s="79">
        <f t="shared" si="0"/>
        <v>1.6836666716483712</v>
      </c>
      <c r="E269" s="39">
        <f t="shared" si="1"/>
        <v>-0.06366667164837114</v>
      </c>
      <c r="F269" s="80">
        <f t="shared" si="2"/>
        <v>0.004053445078781506</v>
      </c>
    </row>
    <row r="270" spans="1:6" ht="12.75">
      <c r="A270" s="496">
        <v>71</v>
      </c>
      <c r="B270" s="18">
        <v>1.7</v>
      </c>
      <c r="C270" s="19">
        <v>1.64</v>
      </c>
      <c r="D270" s="79">
        <f t="shared" si="0"/>
        <v>1.6885517437211839</v>
      </c>
      <c r="E270" s="39">
        <f t="shared" si="1"/>
        <v>-0.04855174372118398</v>
      </c>
      <c r="F270" s="80">
        <f t="shared" si="2"/>
        <v>0.002357271818367528</v>
      </c>
    </row>
    <row r="271" spans="1:6" ht="12.75">
      <c r="A271" s="496">
        <v>36</v>
      </c>
      <c r="B271" s="18">
        <v>1.7</v>
      </c>
      <c r="C271" s="19">
        <v>1.66</v>
      </c>
      <c r="D271" s="79">
        <f t="shared" si="0"/>
        <v>1.6885517437211839</v>
      </c>
      <c r="E271" s="39">
        <f t="shared" si="1"/>
        <v>-0.028551743721183964</v>
      </c>
      <c r="F271" s="80">
        <f t="shared" si="2"/>
        <v>0.000815202069520168</v>
      </c>
    </row>
    <row r="272" spans="1:6" ht="12.75">
      <c r="A272" s="496">
        <v>59</v>
      </c>
      <c r="B272" s="18">
        <v>1.7</v>
      </c>
      <c r="C272" s="19">
        <v>1.66</v>
      </c>
      <c r="D272" s="79">
        <f t="shared" si="0"/>
        <v>1.6885517437211839</v>
      </c>
      <c r="E272" s="39">
        <f t="shared" si="1"/>
        <v>-0.028551743721183964</v>
      </c>
      <c r="F272" s="80">
        <f t="shared" si="2"/>
        <v>0.000815202069520168</v>
      </c>
    </row>
    <row r="273" spans="1:6" ht="12.75">
      <c r="A273" s="496">
        <v>50</v>
      </c>
      <c r="B273" s="18">
        <v>1.7</v>
      </c>
      <c r="C273" s="19">
        <v>1.69</v>
      </c>
      <c r="D273" s="79">
        <f t="shared" si="0"/>
        <v>1.6885517437211839</v>
      </c>
      <c r="E273" s="39">
        <f t="shared" si="1"/>
        <v>0.0014482562788160624</v>
      </c>
      <c r="F273" s="80">
        <f t="shared" si="2"/>
        <v>2.0974462491301483E-06</v>
      </c>
    </row>
    <row r="274" spans="1:6" ht="12.75">
      <c r="A274" s="496">
        <v>66</v>
      </c>
      <c r="B274" s="18">
        <v>1.71</v>
      </c>
      <c r="C274" s="19">
        <v>1.68</v>
      </c>
      <c r="D274" s="79">
        <f t="shared" si="0"/>
        <v>1.6934368157939965</v>
      </c>
      <c r="E274" s="39">
        <f t="shared" si="1"/>
        <v>-0.013436815793996582</v>
      </c>
      <c r="F274" s="80">
        <f t="shared" si="2"/>
        <v>0.00018054801868179599</v>
      </c>
    </row>
    <row r="275" spans="1:6" ht="12.75">
      <c r="A275" s="496">
        <v>41</v>
      </c>
      <c r="B275" s="18">
        <v>1.72</v>
      </c>
      <c r="C275" s="19">
        <v>1.61</v>
      </c>
      <c r="D275" s="79">
        <f t="shared" si="0"/>
        <v>1.698321887866809</v>
      </c>
      <c r="E275" s="39">
        <f t="shared" si="1"/>
        <v>-0.08832188786680883</v>
      </c>
      <c r="F275" s="80">
        <f t="shared" si="2"/>
        <v>0.007800755876357154</v>
      </c>
    </row>
    <row r="276" spans="1:6" ht="12.75">
      <c r="A276" s="496">
        <v>29</v>
      </c>
      <c r="B276" s="18">
        <v>1.73</v>
      </c>
      <c r="C276" s="19">
        <v>1.62</v>
      </c>
      <c r="D276" s="79">
        <f t="shared" si="0"/>
        <v>1.7032069599396218</v>
      </c>
      <c r="E276" s="39">
        <f t="shared" si="1"/>
        <v>-0.08320695993962168</v>
      </c>
      <c r="F276" s="80">
        <f t="shared" si="2"/>
        <v>0.006923398182393807</v>
      </c>
    </row>
    <row r="277" spans="1:6" ht="12.75">
      <c r="A277" s="496">
        <v>6</v>
      </c>
      <c r="B277" s="18">
        <v>1.73</v>
      </c>
      <c r="C277" s="19">
        <v>1.65</v>
      </c>
      <c r="D277" s="79">
        <f t="shared" si="0"/>
        <v>1.7032069599396218</v>
      </c>
      <c r="E277" s="39">
        <f t="shared" si="1"/>
        <v>-0.05320695993962188</v>
      </c>
      <c r="F277" s="80">
        <f t="shared" si="2"/>
        <v>0.0028309805860165273</v>
      </c>
    </row>
    <row r="278" spans="1:6" ht="12.75">
      <c r="A278" s="496">
        <v>34</v>
      </c>
      <c r="B278" s="18">
        <v>1.73</v>
      </c>
      <c r="C278" s="19">
        <v>1.69</v>
      </c>
      <c r="D278" s="79">
        <f t="shared" si="0"/>
        <v>1.7032069599396218</v>
      </c>
      <c r="E278" s="39">
        <f t="shared" si="1"/>
        <v>-0.013206959939621843</v>
      </c>
      <c r="F278" s="80">
        <f t="shared" si="2"/>
        <v>0.0001744237908467762</v>
      </c>
    </row>
    <row r="279" spans="1:6" ht="12.75">
      <c r="A279" s="496">
        <v>68</v>
      </c>
      <c r="B279" s="18">
        <v>1.73</v>
      </c>
      <c r="C279" s="19">
        <v>1.71</v>
      </c>
      <c r="D279" s="79">
        <f t="shared" si="0"/>
        <v>1.7032069599396218</v>
      </c>
      <c r="E279" s="39">
        <f t="shared" si="1"/>
        <v>0.006793040060378175</v>
      </c>
      <c r="F279" s="80">
        <f t="shared" si="2"/>
        <v>4.614539326190272E-05</v>
      </c>
    </row>
    <row r="280" spans="1:6" ht="12.75">
      <c r="A280" s="496">
        <v>52</v>
      </c>
      <c r="B280" s="18">
        <v>1.74</v>
      </c>
      <c r="C280" s="19">
        <v>1.65</v>
      </c>
      <c r="D280" s="79">
        <f t="shared" si="0"/>
        <v>1.7080920320124342</v>
      </c>
      <c r="E280" s="39">
        <f t="shared" si="1"/>
        <v>-0.05809203201243429</v>
      </c>
      <c r="F280" s="80">
        <f t="shared" si="2"/>
        <v>0.0033746841833336904</v>
      </c>
    </row>
    <row r="281" spans="1:6" ht="12.75">
      <c r="A281" s="496">
        <v>17</v>
      </c>
      <c r="B281" s="18">
        <v>1.74</v>
      </c>
      <c r="C281" s="19">
        <v>1.67</v>
      </c>
      <c r="D281" s="79">
        <f t="shared" si="0"/>
        <v>1.7080920320124342</v>
      </c>
      <c r="E281" s="39">
        <f t="shared" si="1"/>
        <v>-0.038092032012434274</v>
      </c>
      <c r="F281" s="80">
        <f t="shared" si="2"/>
        <v>0.0014510029028363175</v>
      </c>
    </row>
    <row r="282" spans="1:6" ht="12.75">
      <c r="A282" s="496">
        <v>35</v>
      </c>
      <c r="B282" s="18">
        <v>1.74</v>
      </c>
      <c r="C282" s="19">
        <v>1.74</v>
      </c>
      <c r="D282" s="79">
        <f t="shared" si="0"/>
        <v>1.7080920320124342</v>
      </c>
      <c r="E282" s="39">
        <f t="shared" si="1"/>
        <v>0.03190796798756579</v>
      </c>
      <c r="F282" s="80">
        <f t="shared" si="2"/>
        <v>0.0010181184210955232</v>
      </c>
    </row>
    <row r="283" spans="1:6" ht="12.75">
      <c r="A283" s="496">
        <v>7</v>
      </c>
      <c r="B283" s="18">
        <v>1.76</v>
      </c>
      <c r="C283" s="19">
        <v>1.71</v>
      </c>
      <c r="D283" s="79">
        <f t="shared" si="0"/>
        <v>1.7178621761580595</v>
      </c>
      <c r="E283" s="39">
        <f t="shared" si="1"/>
        <v>-0.007862176158059508</v>
      </c>
      <c r="F283" s="80">
        <f t="shared" si="2"/>
        <v>6.181381394035937E-05</v>
      </c>
    </row>
    <row r="284" spans="1:6" ht="12.75">
      <c r="A284" s="496">
        <v>16</v>
      </c>
      <c r="B284" s="18">
        <v>1.76</v>
      </c>
      <c r="C284" s="19">
        <v>1.73</v>
      </c>
      <c r="D284" s="79">
        <f t="shared" si="0"/>
        <v>1.7178621761580595</v>
      </c>
      <c r="E284" s="39">
        <f t="shared" si="1"/>
        <v>0.01213782384194051</v>
      </c>
      <c r="F284" s="80">
        <f t="shared" si="2"/>
        <v>0.00014732676761797947</v>
      </c>
    </row>
    <row r="285" spans="1:6" ht="12.75">
      <c r="A285" s="496">
        <v>13</v>
      </c>
      <c r="B285" s="18">
        <v>1.77</v>
      </c>
      <c r="C285" s="19">
        <v>1.66</v>
      </c>
      <c r="D285" s="79">
        <f t="shared" si="0"/>
        <v>1.7227472482308719</v>
      </c>
      <c r="E285" s="39">
        <f t="shared" si="1"/>
        <v>-0.06274724823087197</v>
      </c>
      <c r="F285" s="80">
        <f t="shared" si="2"/>
        <v>0.003937217160546665</v>
      </c>
    </row>
    <row r="286" spans="1:6" ht="12.75">
      <c r="A286" s="496">
        <v>11</v>
      </c>
      <c r="B286" s="18">
        <v>1.77</v>
      </c>
      <c r="C286" s="19">
        <v>1.68</v>
      </c>
      <c r="D286" s="79">
        <f t="shared" si="0"/>
        <v>1.7227472482308719</v>
      </c>
      <c r="E286" s="39">
        <f t="shared" si="1"/>
        <v>-0.04274724823087195</v>
      </c>
      <c r="F286" s="80">
        <f t="shared" si="2"/>
        <v>0.001827327231311785</v>
      </c>
    </row>
    <row r="287" spans="1:6" ht="12.75">
      <c r="A287" s="496">
        <v>78</v>
      </c>
      <c r="B287" s="18">
        <v>1.77</v>
      </c>
      <c r="C287" s="19">
        <v>1.68</v>
      </c>
      <c r="D287" s="79">
        <f t="shared" si="0"/>
        <v>1.7227472482308719</v>
      </c>
      <c r="E287" s="39">
        <f t="shared" si="1"/>
        <v>-0.04274724823087195</v>
      </c>
      <c r="F287" s="80">
        <f t="shared" si="2"/>
        <v>0.001827327231311785</v>
      </c>
    </row>
    <row r="288" spans="1:6" ht="12.75">
      <c r="A288" s="496">
        <v>83</v>
      </c>
      <c r="B288" s="18">
        <v>1.77</v>
      </c>
      <c r="C288" s="19">
        <v>1.75</v>
      </c>
      <c r="D288" s="79">
        <f t="shared" si="0"/>
        <v>1.7227472482308719</v>
      </c>
      <c r="E288" s="39">
        <f t="shared" si="1"/>
        <v>0.027252751769128114</v>
      </c>
      <c r="F288" s="80">
        <f t="shared" si="2"/>
        <v>0.0007427124789897156</v>
      </c>
    </row>
    <row r="289" spans="1:6" ht="12.75">
      <c r="A289" s="496">
        <v>56</v>
      </c>
      <c r="B289" s="18">
        <v>1.77</v>
      </c>
      <c r="C289" s="19">
        <v>1.76</v>
      </c>
      <c r="D289" s="79">
        <f t="shared" si="0"/>
        <v>1.7227472482308719</v>
      </c>
      <c r="E289" s="39">
        <f t="shared" si="1"/>
        <v>0.03725275176912812</v>
      </c>
      <c r="F289" s="80">
        <f t="shared" si="2"/>
        <v>0.0013877675143722785</v>
      </c>
    </row>
    <row r="290" spans="1:6" ht="12.75">
      <c r="A290" s="496">
        <v>42</v>
      </c>
      <c r="B290" s="18">
        <v>1.78</v>
      </c>
      <c r="C290" s="19">
        <v>1.75</v>
      </c>
      <c r="D290" s="79">
        <f t="shared" si="0"/>
        <v>1.7276323203036847</v>
      </c>
      <c r="E290" s="39">
        <f t="shared" si="1"/>
        <v>0.022367679696315257</v>
      </c>
      <c r="F290" s="80">
        <f t="shared" si="2"/>
        <v>0.0005003130949969538</v>
      </c>
    </row>
    <row r="291" spans="1:6" ht="12.75">
      <c r="A291" s="496">
        <v>69</v>
      </c>
      <c r="B291" s="18">
        <v>1.8</v>
      </c>
      <c r="C291" s="19">
        <v>1.76</v>
      </c>
      <c r="D291" s="79">
        <f t="shared" si="0"/>
        <v>1.7374024644493098</v>
      </c>
      <c r="E291" s="39">
        <f t="shared" si="1"/>
        <v>0.022597535550690218</v>
      </c>
      <c r="F291" s="80">
        <f t="shared" si="2"/>
        <v>0.0005106486129647082</v>
      </c>
    </row>
    <row r="292" spans="1:6" ht="12.75">
      <c r="A292" s="496">
        <v>58</v>
      </c>
      <c r="B292" s="18">
        <v>1.81</v>
      </c>
      <c r="C292" s="19">
        <v>1.7</v>
      </c>
      <c r="D292" s="79">
        <f aca="true" t="shared" si="3" ref="D292:D311">$C$220+$C$221*B292</f>
        <v>1.7422875365221224</v>
      </c>
      <c r="E292" s="39">
        <f aca="true" t="shared" si="4" ref="E292:E311">(C292-D292)</f>
        <v>-0.04228753652212247</v>
      </c>
      <c r="F292" s="80">
        <f aca="true" t="shared" si="5" ref="F292:F311">E292^2</f>
        <v>0.0017882357451098419</v>
      </c>
    </row>
    <row r="293" spans="1:6" ht="12.75">
      <c r="A293" s="496">
        <v>3</v>
      </c>
      <c r="B293" s="18">
        <v>1.81</v>
      </c>
      <c r="C293" s="19">
        <v>1.78</v>
      </c>
      <c r="D293" s="79">
        <f t="shared" si="3"/>
        <v>1.7422875365221224</v>
      </c>
      <c r="E293" s="39">
        <f t="shared" si="4"/>
        <v>0.0377124634778776</v>
      </c>
      <c r="F293" s="80">
        <f t="shared" si="5"/>
        <v>0.001422229901570252</v>
      </c>
    </row>
    <row r="294" spans="1:6" ht="12.75">
      <c r="A294" s="496">
        <v>39</v>
      </c>
      <c r="B294" s="18">
        <v>1.82</v>
      </c>
      <c r="C294" s="19">
        <v>1.72</v>
      </c>
      <c r="D294" s="79">
        <f t="shared" si="3"/>
        <v>1.747172608594935</v>
      </c>
      <c r="E294" s="39">
        <f t="shared" si="4"/>
        <v>-0.027172608594935088</v>
      </c>
      <c r="F294" s="80">
        <f t="shared" si="5"/>
        <v>0.0007383506578535402</v>
      </c>
    </row>
    <row r="295" spans="1:6" ht="12.75">
      <c r="A295" s="496">
        <v>76</v>
      </c>
      <c r="B295" s="18">
        <v>1.82</v>
      </c>
      <c r="C295" s="19">
        <v>1.74</v>
      </c>
      <c r="D295" s="79">
        <f t="shared" si="3"/>
        <v>1.747172608594935</v>
      </c>
      <c r="E295" s="39">
        <f t="shared" si="4"/>
        <v>-0.00717260859493507</v>
      </c>
      <c r="F295" s="80">
        <f t="shared" si="5"/>
        <v>5.1446314056136445E-05</v>
      </c>
    </row>
    <row r="296" spans="1:6" ht="12.75">
      <c r="A296" s="496">
        <v>74</v>
      </c>
      <c r="B296" s="18">
        <v>1.82</v>
      </c>
      <c r="C296" s="19">
        <v>1.77</v>
      </c>
      <c r="D296" s="79">
        <f t="shared" si="3"/>
        <v>1.747172608594935</v>
      </c>
      <c r="E296" s="39">
        <f t="shared" si="4"/>
        <v>0.022827391405064956</v>
      </c>
      <c r="F296" s="80">
        <f t="shared" si="5"/>
        <v>0.0005210897983600334</v>
      </c>
    </row>
    <row r="297" spans="1:6" ht="12.75">
      <c r="A297" s="496">
        <v>25</v>
      </c>
      <c r="B297" s="18">
        <v>1.82</v>
      </c>
      <c r="C297" s="19">
        <v>1.79</v>
      </c>
      <c r="D297" s="79">
        <f t="shared" si="3"/>
        <v>1.747172608594935</v>
      </c>
      <c r="E297" s="39">
        <f t="shared" si="4"/>
        <v>0.042827391405064974</v>
      </c>
      <c r="F297" s="80">
        <f t="shared" si="5"/>
        <v>0.0018341854545626333</v>
      </c>
    </row>
    <row r="298" spans="1:6" ht="12.75">
      <c r="A298" s="496">
        <v>32</v>
      </c>
      <c r="B298" s="18">
        <v>1.83</v>
      </c>
      <c r="C298" s="19">
        <v>1.74</v>
      </c>
      <c r="D298" s="79">
        <f t="shared" si="3"/>
        <v>1.7520576806677477</v>
      </c>
      <c r="E298" s="39">
        <f t="shared" si="4"/>
        <v>-0.012057680667747706</v>
      </c>
      <c r="F298" s="80">
        <f t="shared" si="5"/>
        <v>0.00014538766308537675</v>
      </c>
    </row>
    <row r="299" spans="1:6" ht="12.75">
      <c r="A299" s="496">
        <v>45</v>
      </c>
      <c r="B299" s="18">
        <v>1.83</v>
      </c>
      <c r="C299" s="19">
        <v>1.83</v>
      </c>
      <c r="D299" s="79">
        <f t="shared" si="3"/>
        <v>1.7520576806677477</v>
      </c>
      <c r="E299" s="39">
        <f t="shared" si="4"/>
        <v>0.07794231933225237</v>
      </c>
      <c r="F299" s="80">
        <f t="shared" si="5"/>
        <v>0.006075005142890802</v>
      </c>
    </row>
    <row r="300" spans="1:6" ht="12.75">
      <c r="A300" s="496">
        <v>82</v>
      </c>
      <c r="B300" s="18">
        <v>1.84</v>
      </c>
      <c r="C300" s="19">
        <v>1.73</v>
      </c>
      <c r="D300" s="79">
        <f t="shared" si="3"/>
        <v>1.75694275274056</v>
      </c>
      <c r="E300" s="39">
        <f t="shared" si="4"/>
        <v>-0.026942752740560127</v>
      </c>
      <c r="F300" s="80">
        <f t="shared" si="5"/>
        <v>0.0007259119252389603</v>
      </c>
    </row>
    <row r="301" spans="1:6" ht="12.75">
      <c r="A301" s="496">
        <v>44</v>
      </c>
      <c r="B301" s="18">
        <v>1.84</v>
      </c>
      <c r="C301" s="19">
        <v>1.76</v>
      </c>
      <c r="D301" s="79">
        <f t="shared" si="3"/>
        <v>1.75694275274056</v>
      </c>
      <c r="E301" s="39">
        <f t="shared" si="4"/>
        <v>0.003057247259439899</v>
      </c>
      <c r="F301" s="80">
        <f t="shared" si="5"/>
        <v>9.346760805352774E-06</v>
      </c>
    </row>
    <row r="302" spans="1:6" ht="12.75">
      <c r="A302" s="496">
        <v>8</v>
      </c>
      <c r="B302" s="18">
        <v>1.84</v>
      </c>
      <c r="C302" s="19">
        <v>1.8</v>
      </c>
      <c r="D302" s="79">
        <f t="shared" si="3"/>
        <v>1.75694275274056</v>
      </c>
      <c r="E302" s="39">
        <f t="shared" si="4"/>
        <v>0.043057247259439935</v>
      </c>
      <c r="F302" s="80">
        <f t="shared" si="5"/>
        <v>0.0018539265415605478</v>
      </c>
    </row>
    <row r="303" spans="1:6" ht="12.75">
      <c r="A303" s="496">
        <v>43</v>
      </c>
      <c r="B303" s="18">
        <v>1.85</v>
      </c>
      <c r="C303" s="19">
        <v>1.72</v>
      </c>
      <c r="D303" s="79">
        <f t="shared" si="3"/>
        <v>1.761827824813373</v>
      </c>
      <c r="E303" s="39">
        <f t="shared" si="4"/>
        <v>-0.041827824813372994</v>
      </c>
      <c r="F303" s="80">
        <f t="shared" si="5"/>
        <v>0.0017495669286182215</v>
      </c>
    </row>
    <row r="304" spans="1:6" ht="12.75">
      <c r="A304" s="496">
        <v>23</v>
      </c>
      <c r="B304" s="18">
        <v>1.85</v>
      </c>
      <c r="C304" s="19">
        <v>1.73</v>
      </c>
      <c r="D304" s="79">
        <f t="shared" si="3"/>
        <v>1.761827824813373</v>
      </c>
      <c r="E304" s="39">
        <f t="shared" si="4"/>
        <v>-0.031827824813372985</v>
      </c>
      <c r="F304" s="80">
        <f t="shared" si="5"/>
        <v>0.001013010432350761</v>
      </c>
    </row>
    <row r="305" spans="1:6" ht="12.75">
      <c r="A305" s="496">
        <v>80</v>
      </c>
      <c r="B305" s="18">
        <v>1.85</v>
      </c>
      <c r="C305" s="19">
        <v>1.79</v>
      </c>
      <c r="D305" s="79">
        <f t="shared" si="3"/>
        <v>1.761827824813373</v>
      </c>
      <c r="E305" s="39">
        <f t="shared" si="4"/>
        <v>0.02817217518662707</v>
      </c>
      <c r="F305" s="80">
        <f t="shared" si="5"/>
        <v>0.000793671454746006</v>
      </c>
    </row>
    <row r="306" spans="1:6" ht="12.75">
      <c r="A306" s="496">
        <v>9</v>
      </c>
      <c r="B306" s="18">
        <v>1.86</v>
      </c>
      <c r="C306" s="19">
        <v>1.73</v>
      </c>
      <c r="D306" s="79">
        <f t="shared" si="3"/>
        <v>1.7667128968861854</v>
      </c>
      <c r="E306" s="39">
        <f t="shared" si="4"/>
        <v>-0.0367128968861854</v>
      </c>
      <c r="F306" s="80">
        <f t="shared" si="5"/>
        <v>0.0013478367977756815</v>
      </c>
    </row>
    <row r="307" spans="1:6" ht="12.75">
      <c r="A307" s="496">
        <v>26</v>
      </c>
      <c r="B307" s="18">
        <v>1.87</v>
      </c>
      <c r="C307" s="19">
        <v>1.82</v>
      </c>
      <c r="D307" s="79">
        <f t="shared" si="3"/>
        <v>1.771597968958998</v>
      </c>
      <c r="E307" s="39">
        <f t="shared" si="4"/>
        <v>0.04840203104100205</v>
      </c>
      <c r="F307" s="80">
        <f t="shared" si="5"/>
        <v>0.0023427566088941257</v>
      </c>
    </row>
    <row r="308" spans="1:6" ht="12.75">
      <c r="A308" s="496">
        <v>84</v>
      </c>
      <c r="B308" s="18">
        <v>1.87</v>
      </c>
      <c r="C308" s="19">
        <v>1.85</v>
      </c>
      <c r="D308" s="79">
        <f t="shared" si="3"/>
        <v>1.771597968958998</v>
      </c>
      <c r="E308" s="39">
        <f t="shared" si="4"/>
        <v>0.07840203104100207</v>
      </c>
      <c r="F308" s="80">
        <f t="shared" si="5"/>
        <v>0.006146878471354253</v>
      </c>
    </row>
    <row r="309" spans="1:6" ht="12.75">
      <c r="A309" s="496">
        <v>33</v>
      </c>
      <c r="B309" s="18">
        <v>1.88</v>
      </c>
      <c r="C309" s="19">
        <v>1.78</v>
      </c>
      <c r="D309" s="79">
        <f t="shared" si="3"/>
        <v>1.7764830410318107</v>
      </c>
      <c r="E309" s="39">
        <f t="shared" si="4"/>
        <v>0.0035169589681893765</v>
      </c>
      <c r="F309" s="80">
        <f t="shared" si="5"/>
        <v>1.2369000383927683E-05</v>
      </c>
    </row>
    <row r="310" spans="1:6" ht="12.75">
      <c r="A310" s="496">
        <v>15</v>
      </c>
      <c r="B310" s="18">
        <v>1.88</v>
      </c>
      <c r="C310" s="19">
        <v>1.83</v>
      </c>
      <c r="D310" s="79">
        <f t="shared" si="3"/>
        <v>1.7764830410318107</v>
      </c>
      <c r="E310" s="39">
        <f t="shared" si="4"/>
        <v>0.05351695896818942</v>
      </c>
      <c r="F310" s="80">
        <f t="shared" si="5"/>
        <v>0.00286406489720287</v>
      </c>
    </row>
    <row r="311" spans="1:6" ht="12.75">
      <c r="A311" s="497">
        <v>72</v>
      </c>
      <c r="B311" s="22">
        <v>1.88</v>
      </c>
      <c r="C311" s="23">
        <v>1.87</v>
      </c>
      <c r="D311" s="79">
        <f t="shared" si="3"/>
        <v>1.7764830410318107</v>
      </c>
      <c r="E311" s="82">
        <f t="shared" si="4"/>
        <v>0.09351695896818946</v>
      </c>
      <c r="F311" s="83">
        <f t="shared" si="5"/>
        <v>0.00874542161465803</v>
      </c>
    </row>
    <row r="312" spans="1:6" ht="12.75">
      <c r="A312" s="499" t="s">
        <v>90</v>
      </c>
      <c r="B312" s="81">
        <f>SUM(B227:B311)</f>
        <v>143.35999999999999</v>
      </c>
      <c r="C312" s="81">
        <f>SUM(C227:C311)</f>
        <v>142.97</v>
      </c>
      <c r="D312" s="81">
        <f>SUM(D227:D311)</f>
        <v>142.96999999999994</v>
      </c>
      <c r="E312" s="97">
        <f>SUM(E227:E311)</f>
        <v>7.549516567451064E-15</v>
      </c>
      <c r="F312" s="476">
        <f>SUM(F227:F311)</f>
        <v>0.18659128550398654</v>
      </c>
    </row>
    <row r="313" spans="1:6" ht="12.75">
      <c r="A313" s="503"/>
      <c r="B313" s="79"/>
      <c r="C313" s="79"/>
      <c r="D313" s="79"/>
      <c r="E313" s="240"/>
      <c r="F313" s="240"/>
    </row>
    <row r="314" ht="12.75">
      <c r="E314" s="64" t="s">
        <v>288</v>
      </c>
    </row>
    <row r="343" ht="12.75">
      <c r="A343" s="64" t="s">
        <v>91</v>
      </c>
    </row>
    <row r="344" spans="1:3" ht="13.5" thickBot="1">
      <c r="A344" s="504" t="s">
        <v>27</v>
      </c>
      <c r="B344" s="505" t="s">
        <v>10</v>
      </c>
      <c r="C344" s="505" t="s">
        <v>11</v>
      </c>
    </row>
    <row r="345" spans="1:4" ht="13.5" thickTop="1">
      <c r="A345" s="506" t="s">
        <v>92</v>
      </c>
      <c r="B345" s="39">
        <f>AVERAGE($B$227:$B$311)</f>
        <v>1.6865882352941175</v>
      </c>
      <c r="C345" s="39">
        <f>AVERAGE($C$227:$C$311)</f>
        <v>1.682</v>
      </c>
      <c r="D345" s="51"/>
    </row>
    <row r="346" spans="1:3" ht="12.75">
      <c r="A346" s="506" t="s">
        <v>93</v>
      </c>
      <c r="B346" s="39">
        <f>B349/B358</f>
        <v>0.0014405964580492348</v>
      </c>
      <c r="C346" s="39">
        <f>C349/C358</f>
        <v>0.0008959365253038404</v>
      </c>
    </row>
    <row r="347" spans="1:3" ht="12.75">
      <c r="A347" s="506" t="s">
        <v>94</v>
      </c>
      <c r="B347" s="70">
        <f>MEDIAN($B$227:$B$311)</f>
        <v>1.69</v>
      </c>
      <c r="C347" s="70">
        <f>MEDIAN($C$227:$C$311)</f>
        <v>1.68</v>
      </c>
    </row>
    <row r="348" spans="1:3" ht="12.75">
      <c r="A348" s="506" t="s">
        <v>95</v>
      </c>
      <c r="B348" s="70">
        <f>MODE($B$227:$B$311)</f>
        <v>1.67</v>
      </c>
      <c r="C348" s="70">
        <f>MODE($C$227:$C$311)</f>
        <v>1.62</v>
      </c>
    </row>
    <row r="349" spans="1:3" ht="12.75">
      <c r="A349" s="506" t="s">
        <v>96</v>
      </c>
      <c r="B349" s="39">
        <f>STDEV($B$227:$B$311)</f>
        <v>0.12245069893418496</v>
      </c>
      <c r="C349" s="39">
        <f>STDEV($C$227:$C$311)</f>
        <v>0.07615460465082644</v>
      </c>
    </row>
    <row r="350" spans="1:3" ht="12.75">
      <c r="A350" s="506" t="s">
        <v>97</v>
      </c>
      <c r="B350" s="39">
        <f>VAR($B$227:$B$311)</f>
        <v>0.014994173669470407</v>
      </c>
      <c r="C350" s="39">
        <f>VAR($C$227:$C$311)</f>
        <v>0.0057995238095236755</v>
      </c>
    </row>
    <row r="351" spans="1:3" ht="12.75">
      <c r="A351" s="507" t="s">
        <v>98</v>
      </c>
      <c r="B351" s="93">
        <f>B350*(B358-1)</f>
        <v>1.2595105882355142</v>
      </c>
      <c r="C351" s="93">
        <f>C350*(C358-1)</f>
        <v>0.48715999999998877</v>
      </c>
    </row>
    <row r="352" spans="1:3" ht="12.75">
      <c r="A352" s="506" t="s">
        <v>99</v>
      </c>
      <c r="B352" s="39">
        <f>KURT($B$227:$B$311)</f>
        <v>-1.0377555564280039</v>
      </c>
      <c r="C352" s="39">
        <f>AVERAGE($C$227:$C$311)</f>
        <v>1.682</v>
      </c>
    </row>
    <row r="353" spans="1:3" ht="12.75">
      <c r="A353" s="506" t="s">
        <v>100</v>
      </c>
      <c r="B353" s="70">
        <f>SKEW($B$227:$B$311)</f>
        <v>-0.18927185376046876</v>
      </c>
      <c r="C353" s="70">
        <f>SKEW($C$227:$C$311)</f>
        <v>0.21374821388559187</v>
      </c>
    </row>
    <row r="354" spans="1:3" ht="12.75">
      <c r="A354" s="506" t="s">
        <v>101</v>
      </c>
      <c r="B354" s="70">
        <f>B356-B355</f>
        <v>0.42999999999999994</v>
      </c>
      <c r="C354" s="70">
        <f>C356-C355</f>
        <v>0.3500000000000001</v>
      </c>
    </row>
    <row r="355" spans="1:3" ht="12.75">
      <c r="A355" s="506" t="s">
        <v>102</v>
      </c>
      <c r="B355" s="70">
        <f>MIN($B$227:$B$311)</f>
        <v>1.45</v>
      </c>
      <c r="C355" s="70">
        <f>MIN($C$227:$C$311)</f>
        <v>1.52</v>
      </c>
    </row>
    <row r="356" spans="1:3" ht="12.75">
      <c r="A356" s="506" t="s">
        <v>103</v>
      </c>
      <c r="B356" s="70">
        <f>MAX($B$227:$B$311)</f>
        <v>1.88</v>
      </c>
      <c r="C356" s="70">
        <f>MAX($C$227:$C$311)</f>
        <v>1.87</v>
      </c>
    </row>
    <row r="357" spans="1:3" ht="12.75">
      <c r="A357" s="506" t="s">
        <v>104</v>
      </c>
      <c r="B357" s="70">
        <f>SUM($B$227:$B$311)</f>
        <v>143.35999999999999</v>
      </c>
      <c r="C357" s="70">
        <f>SUM($C$227:$C$311)</f>
        <v>142.97</v>
      </c>
    </row>
    <row r="358" spans="1:3" ht="12.75">
      <c r="A358" s="508" t="s">
        <v>105</v>
      </c>
      <c r="B358" s="53">
        <f>COUNT($B$227:$B$311)</f>
        <v>85</v>
      </c>
      <c r="C358" s="53">
        <f>COUNT($C$227:$C$311)</f>
        <v>85</v>
      </c>
    </row>
    <row r="361" ht="12.75">
      <c r="A361" s="64" t="s">
        <v>109</v>
      </c>
    </row>
    <row r="362" spans="1:2" ht="13.5" thickBot="1">
      <c r="A362" s="509" t="s">
        <v>106</v>
      </c>
      <c r="B362" s="98">
        <f>B363^2*B364</f>
        <v>0.30056871449606587</v>
      </c>
    </row>
    <row r="363" spans="1:2" ht="12.75">
      <c r="A363" s="498" t="s">
        <v>107</v>
      </c>
      <c r="B363" s="96">
        <f>C221</f>
        <v>0.4885072072812595</v>
      </c>
    </row>
    <row r="364" spans="1:2" ht="12.75">
      <c r="A364" s="499" t="s">
        <v>108</v>
      </c>
      <c r="B364" s="97">
        <f>B351</f>
        <v>1.2595105882355142</v>
      </c>
    </row>
    <row r="367" spans="1:3" ht="13.5" thickBot="1">
      <c r="A367" s="100" t="s">
        <v>110</v>
      </c>
      <c r="B367" s="101">
        <f>SUM(B368:B369)</f>
        <v>0.48716000000005244</v>
      </c>
      <c r="C367" s="102">
        <f>C351</f>
        <v>0.48715999999998877</v>
      </c>
    </row>
    <row r="368" spans="1:3" ht="13.5" thickTop="1">
      <c r="A368" s="498" t="s">
        <v>111</v>
      </c>
      <c r="B368" s="96">
        <f>B362</f>
        <v>0.30056871449606587</v>
      </c>
      <c r="C368" s="28"/>
    </row>
    <row r="369" spans="1:3" ht="12.75">
      <c r="A369" s="499" t="s">
        <v>112</v>
      </c>
      <c r="B369" s="97">
        <f>F312</f>
        <v>0.18659128550398654</v>
      </c>
      <c r="C369" s="30"/>
    </row>
    <row r="370" spans="3:4" ht="12.75">
      <c r="C370" s="20"/>
      <c r="D370" s="20"/>
    </row>
    <row r="371" spans="3:4" ht="12.75">
      <c r="C371" s="20"/>
      <c r="D371" s="20"/>
    </row>
    <row r="372" spans="1:4" ht="12.75">
      <c r="A372" s="64" t="s">
        <v>289</v>
      </c>
      <c r="C372" s="20"/>
      <c r="D372" s="20"/>
    </row>
    <row r="373" spans="1:8" ht="12.75">
      <c r="A373" s="510" t="s">
        <v>125</v>
      </c>
      <c r="B373" s="511" t="s">
        <v>113</v>
      </c>
      <c r="C373" s="512" t="s">
        <v>114</v>
      </c>
      <c r="D373" s="513" t="s">
        <v>115</v>
      </c>
      <c r="E373" s="514" t="s">
        <v>127</v>
      </c>
      <c r="F373" s="511" t="s">
        <v>122</v>
      </c>
      <c r="G373" s="629" t="s">
        <v>124</v>
      </c>
      <c r="H373" s="630"/>
    </row>
    <row r="374" spans="1:8" ht="13.5" thickBot="1">
      <c r="A374" s="515" t="s">
        <v>126</v>
      </c>
      <c r="B374" s="516" t="s">
        <v>116</v>
      </c>
      <c r="C374" s="517" t="s">
        <v>117</v>
      </c>
      <c r="D374" s="518" t="s">
        <v>118</v>
      </c>
      <c r="E374" s="517" t="s">
        <v>121</v>
      </c>
      <c r="F374" s="519" t="s">
        <v>123</v>
      </c>
      <c r="G374" s="520" t="s">
        <v>128</v>
      </c>
      <c r="H374" s="518" t="s">
        <v>129</v>
      </c>
    </row>
    <row r="375" spans="1:8" ht="13.5" thickTop="1">
      <c r="A375" s="521" t="s">
        <v>50</v>
      </c>
      <c r="B375" s="48">
        <f>B367</f>
        <v>0.48716000000005244</v>
      </c>
      <c r="C375" s="49">
        <f>C358-1</f>
        <v>84</v>
      </c>
      <c r="D375" s="80">
        <f>B375/C375</f>
        <v>0.005799523809524434</v>
      </c>
      <c r="E375" s="28"/>
      <c r="F375" s="6"/>
      <c r="G375" s="28"/>
      <c r="H375" s="38"/>
    </row>
    <row r="376" spans="1:8" ht="12.75">
      <c r="A376" s="521" t="s">
        <v>119</v>
      </c>
      <c r="B376" s="48">
        <f>B368</f>
        <v>0.30056871449606587</v>
      </c>
      <c r="C376" s="49">
        <f>2-1</f>
        <v>1</v>
      </c>
      <c r="D376" s="80">
        <f>B376/C376</f>
        <v>0.30056871449606587</v>
      </c>
      <c r="E376" s="39">
        <f>D376/D377</f>
        <v>133.6997236274492</v>
      </c>
      <c r="F376" s="6">
        <f>FDIST(E376,C376,C377)</f>
        <v>5.577742727654164E-19</v>
      </c>
      <c r="G376" s="39">
        <f>FINV(0.05,$C$376,$C$377)</f>
        <v>3.9559608589152546</v>
      </c>
      <c r="H376" s="80">
        <f>FINV(0.01,$C$376,$C$377)</f>
        <v>6.950440193820235</v>
      </c>
    </row>
    <row r="377" spans="1:8" ht="12.75">
      <c r="A377" s="522" t="s">
        <v>120</v>
      </c>
      <c r="B377" s="52">
        <f>B369</f>
        <v>0.18659128550398654</v>
      </c>
      <c r="C377" s="53">
        <f>C375-C376</f>
        <v>83</v>
      </c>
      <c r="D377" s="83">
        <f>B377/C377</f>
        <v>0.0022480877771564644</v>
      </c>
      <c r="E377" s="30"/>
      <c r="F377" s="10"/>
      <c r="G377" s="30"/>
      <c r="H377" s="54"/>
    </row>
    <row r="381" ht="12.75">
      <c r="A381" s="1" t="s">
        <v>290</v>
      </c>
    </row>
    <row r="383" spans="1:6" ht="12.75">
      <c r="A383" s="489"/>
      <c r="B383" s="490" t="s">
        <v>8</v>
      </c>
      <c r="C383" s="491" t="s">
        <v>8</v>
      </c>
      <c r="D383" s="523" t="s">
        <v>130</v>
      </c>
      <c r="E383" s="490" t="s">
        <v>116</v>
      </c>
      <c r="F383" s="491" t="s">
        <v>116</v>
      </c>
    </row>
    <row r="384" spans="1:6" ht="13.5" thickBot="1">
      <c r="A384" s="495" t="s">
        <v>9</v>
      </c>
      <c r="B384" s="493" t="s">
        <v>10</v>
      </c>
      <c r="C384" s="494" t="s">
        <v>11</v>
      </c>
      <c r="D384" s="495" t="s">
        <v>131</v>
      </c>
      <c r="E384" s="493" t="s">
        <v>132</v>
      </c>
      <c r="F384" s="494" t="s">
        <v>133</v>
      </c>
    </row>
    <row r="385" spans="1:6" ht="13.5" thickTop="1">
      <c r="A385" s="496">
        <v>1</v>
      </c>
      <c r="B385" s="65">
        <v>1.49</v>
      </c>
      <c r="C385" s="66">
        <v>1.64</v>
      </c>
      <c r="D385" s="116">
        <f>B385*C385</f>
        <v>2.4436</v>
      </c>
      <c r="E385" s="39">
        <f>B385^2</f>
        <v>2.2201</v>
      </c>
      <c r="F385" s="80">
        <f>C385^2</f>
        <v>2.6895999999999995</v>
      </c>
    </row>
    <row r="386" spans="1:6" ht="12.75">
      <c r="A386" s="496">
        <v>2</v>
      </c>
      <c r="B386" s="65">
        <v>1.52</v>
      </c>
      <c r="C386" s="66">
        <v>1.62</v>
      </c>
      <c r="D386" s="116">
        <f aca="true" t="shared" si="6" ref="D386:D449">B386*C386</f>
        <v>2.4624</v>
      </c>
      <c r="E386" s="39">
        <f aca="true" t="shared" si="7" ref="E386:E449">B386^2</f>
        <v>2.3104</v>
      </c>
      <c r="F386" s="80">
        <f aca="true" t="shared" si="8" ref="F386:F449">C386^2</f>
        <v>2.6244000000000005</v>
      </c>
    </row>
    <row r="387" spans="1:6" ht="12.75">
      <c r="A387" s="496">
        <v>3</v>
      </c>
      <c r="B387" s="65">
        <v>1.81</v>
      </c>
      <c r="C387" s="66">
        <v>1.78</v>
      </c>
      <c r="D387" s="116">
        <f t="shared" si="6"/>
        <v>3.2218</v>
      </c>
      <c r="E387" s="39">
        <f t="shared" si="7"/>
        <v>3.2761</v>
      </c>
      <c r="F387" s="80">
        <f t="shared" si="8"/>
        <v>3.1684</v>
      </c>
    </row>
    <row r="388" spans="1:6" ht="12.75">
      <c r="A388" s="496">
        <v>4</v>
      </c>
      <c r="B388" s="65">
        <v>1.57</v>
      </c>
      <c r="C388" s="66">
        <v>1.6</v>
      </c>
      <c r="D388" s="116">
        <f t="shared" si="6"/>
        <v>2.5120000000000005</v>
      </c>
      <c r="E388" s="39">
        <f t="shared" si="7"/>
        <v>2.4649</v>
      </c>
      <c r="F388" s="80">
        <f t="shared" si="8"/>
        <v>2.5600000000000005</v>
      </c>
    </row>
    <row r="389" spans="1:6" ht="12.75">
      <c r="A389" s="496">
        <v>5</v>
      </c>
      <c r="B389" s="65">
        <v>1.63</v>
      </c>
      <c r="C389" s="66">
        <v>1.68</v>
      </c>
      <c r="D389" s="116">
        <f t="shared" si="6"/>
        <v>2.7383999999999995</v>
      </c>
      <c r="E389" s="39">
        <f t="shared" si="7"/>
        <v>2.6569</v>
      </c>
      <c r="F389" s="80">
        <f t="shared" si="8"/>
        <v>2.8223999999999996</v>
      </c>
    </row>
    <row r="390" spans="1:6" ht="12.75">
      <c r="A390" s="496">
        <v>6</v>
      </c>
      <c r="B390" s="65">
        <v>1.73</v>
      </c>
      <c r="C390" s="66">
        <v>1.65</v>
      </c>
      <c r="D390" s="116">
        <f t="shared" si="6"/>
        <v>2.8545</v>
      </c>
      <c r="E390" s="39">
        <f t="shared" si="7"/>
        <v>2.9929</v>
      </c>
      <c r="F390" s="80">
        <f t="shared" si="8"/>
        <v>2.7224999999999997</v>
      </c>
    </row>
    <row r="391" spans="1:6" ht="12.75">
      <c r="A391" s="496">
        <v>7</v>
      </c>
      <c r="B391" s="65">
        <v>1.76</v>
      </c>
      <c r="C391" s="66">
        <v>1.71</v>
      </c>
      <c r="D391" s="116">
        <f t="shared" si="6"/>
        <v>3.0096</v>
      </c>
      <c r="E391" s="39">
        <f t="shared" si="7"/>
        <v>3.0976</v>
      </c>
      <c r="F391" s="80">
        <f t="shared" si="8"/>
        <v>2.9240999999999997</v>
      </c>
    </row>
    <row r="392" spans="1:6" ht="12.75">
      <c r="A392" s="496">
        <v>8</v>
      </c>
      <c r="B392" s="65">
        <v>1.84</v>
      </c>
      <c r="C392" s="66">
        <v>1.8</v>
      </c>
      <c r="D392" s="116">
        <f t="shared" si="6"/>
        <v>3.3120000000000003</v>
      </c>
      <c r="E392" s="39">
        <f t="shared" si="7"/>
        <v>3.3856</v>
      </c>
      <c r="F392" s="80">
        <f t="shared" si="8"/>
        <v>3.24</v>
      </c>
    </row>
    <row r="393" spans="1:6" ht="12.75">
      <c r="A393" s="496">
        <v>9</v>
      </c>
      <c r="B393" s="65">
        <v>1.86</v>
      </c>
      <c r="C393" s="66">
        <v>1.73</v>
      </c>
      <c r="D393" s="116">
        <f t="shared" si="6"/>
        <v>3.2178</v>
      </c>
      <c r="E393" s="39">
        <f t="shared" si="7"/>
        <v>3.4596000000000005</v>
      </c>
      <c r="F393" s="80">
        <f t="shared" si="8"/>
        <v>2.9929</v>
      </c>
    </row>
    <row r="394" spans="1:6" ht="12.75">
      <c r="A394" s="496">
        <v>10</v>
      </c>
      <c r="B394" s="65">
        <v>1.45</v>
      </c>
      <c r="C394" s="66">
        <v>1.52</v>
      </c>
      <c r="D394" s="116">
        <f t="shared" si="6"/>
        <v>2.2039999999999997</v>
      </c>
      <c r="E394" s="39">
        <f t="shared" si="7"/>
        <v>2.1025</v>
      </c>
      <c r="F394" s="80">
        <f t="shared" si="8"/>
        <v>2.3104</v>
      </c>
    </row>
    <row r="395" spans="1:6" ht="12.75">
      <c r="A395" s="496">
        <v>11</v>
      </c>
      <c r="B395" s="65">
        <v>1.77</v>
      </c>
      <c r="C395" s="66">
        <v>1.68</v>
      </c>
      <c r="D395" s="116">
        <f t="shared" si="6"/>
        <v>2.9736</v>
      </c>
      <c r="E395" s="39">
        <f t="shared" si="7"/>
        <v>3.1329000000000002</v>
      </c>
      <c r="F395" s="80">
        <f t="shared" si="8"/>
        <v>2.8223999999999996</v>
      </c>
    </row>
    <row r="396" spans="1:6" ht="12.75">
      <c r="A396" s="496">
        <v>12</v>
      </c>
      <c r="B396" s="65">
        <v>1.57</v>
      </c>
      <c r="C396" s="66">
        <v>1.66</v>
      </c>
      <c r="D396" s="116">
        <f t="shared" si="6"/>
        <v>2.6062</v>
      </c>
      <c r="E396" s="39">
        <f t="shared" si="7"/>
        <v>2.4649</v>
      </c>
      <c r="F396" s="80">
        <f t="shared" si="8"/>
        <v>2.7556</v>
      </c>
    </row>
    <row r="397" spans="1:6" ht="12.75">
      <c r="A397" s="496">
        <v>13</v>
      </c>
      <c r="B397" s="65">
        <v>1.77</v>
      </c>
      <c r="C397" s="66">
        <v>1.66</v>
      </c>
      <c r="D397" s="116">
        <f t="shared" si="6"/>
        <v>2.9381999999999997</v>
      </c>
      <c r="E397" s="39">
        <f t="shared" si="7"/>
        <v>3.1329000000000002</v>
      </c>
      <c r="F397" s="80">
        <f t="shared" si="8"/>
        <v>2.7556</v>
      </c>
    </row>
    <row r="398" spans="1:6" ht="12.75">
      <c r="A398" s="496">
        <v>14</v>
      </c>
      <c r="B398" s="65">
        <v>1.58</v>
      </c>
      <c r="C398" s="66">
        <v>1.67</v>
      </c>
      <c r="D398" s="116">
        <f t="shared" si="6"/>
        <v>2.6386</v>
      </c>
      <c r="E398" s="39">
        <f t="shared" si="7"/>
        <v>2.4964000000000004</v>
      </c>
      <c r="F398" s="80">
        <f t="shared" si="8"/>
        <v>2.7889</v>
      </c>
    </row>
    <row r="399" spans="1:6" ht="12.75">
      <c r="A399" s="496">
        <v>15</v>
      </c>
      <c r="B399" s="65">
        <v>1.88</v>
      </c>
      <c r="C399" s="66">
        <v>1.83</v>
      </c>
      <c r="D399" s="116">
        <f t="shared" si="6"/>
        <v>3.4404</v>
      </c>
      <c r="E399" s="39">
        <f t="shared" si="7"/>
        <v>3.5343999999999998</v>
      </c>
      <c r="F399" s="80">
        <f t="shared" si="8"/>
        <v>3.3489000000000004</v>
      </c>
    </row>
    <row r="400" spans="1:6" ht="12.75">
      <c r="A400" s="496">
        <v>16</v>
      </c>
      <c r="B400" s="65">
        <v>1.76</v>
      </c>
      <c r="C400" s="66">
        <v>1.73</v>
      </c>
      <c r="D400" s="116">
        <f t="shared" si="6"/>
        <v>3.0448</v>
      </c>
      <c r="E400" s="39">
        <f t="shared" si="7"/>
        <v>3.0976</v>
      </c>
      <c r="F400" s="80">
        <f t="shared" si="8"/>
        <v>2.9929</v>
      </c>
    </row>
    <row r="401" spans="1:6" ht="12.75">
      <c r="A401" s="496">
        <v>17</v>
      </c>
      <c r="B401" s="65">
        <v>1.74</v>
      </c>
      <c r="C401" s="66">
        <v>1.67</v>
      </c>
      <c r="D401" s="116">
        <f t="shared" si="6"/>
        <v>2.9057999999999997</v>
      </c>
      <c r="E401" s="39">
        <f t="shared" si="7"/>
        <v>3.0276</v>
      </c>
      <c r="F401" s="80">
        <f t="shared" si="8"/>
        <v>2.7889</v>
      </c>
    </row>
    <row r="402" spans="1:6" ht="12.75">
      <c r="A402" s="496">
        <v>18</v>
      </c>
      <c r="B402" s="65">
        <v>1.61</v>
      </c>
      <c r="C402" s="66">
        <v>1.65</v>
      </c>
      <c r="D402" s="116">
        <f t="shared" si="6"/>
        <v>2.6565</v>
      </c>
      <c r="E402" s="39">
        <f t="shared" si="7"/>
        <v>2.5921000000000003</v>
      </c>
      <c r="F402" s="80">
        <f t="shared" si="8"/>
        <v>2.7224999999999997</v>
      </c>
    </row>
    <row r="403" spans="1:6" ht="12.75">
      <c r="A403" s="496">
        <v>19</v>
      </c>
      <c r="B403" s="65">
        <v>1.69</v>
      </c>
      <c r="C403" s="66">
        <v>1.59</v>
      </c>
      <c r="D403" s="116">
        <f t="shared" si="6"/>
        <v>2.6871</v>
      </c>
      <c r="E403" s="39">
        <f t="shared" si="7"/>
        <v>2.8560999999999996</v>
      </c>
      <c r="F403" s="80">
        <f t="shared" si="8"/>
        <v>2.5281000000000002</v>
      </c>
    </row>
    <row r="404" spans="1:6" ht="12.75">
      <c r="A404" s="496">
        <v>20</v>
      </c>
      <c r="B404" s="65">
        <v>1.65</v>
      </c>
      <c r="C404" s="66">
        <v>1.76</v>
      </c>
      <c r="D404" s="116">
        <f t="shared" si="6"/>
        <v>2.904</v>
      </c>
      <c r="E404" s="39">
        <f t="shared" si="7"/>
        <v>2.7224999999999997</v>
      </c>
      <c r="F404" s="80">
        <f t="shared" si="8"/>
        <v>3.0976</v>
      </c>
    </row>
    <row r="405" spans="1:6" ht="12.75">
      <c r="A405" s="496">
        <v>21</v>
      </c>
      <c r="B405" s="65">
        <v>1.69</v>
      </c>
      <c r="C405" s="66">
        <v>1.62</v>
      </c>
      <c r="D405" s="116">
        <f t="shared" si="6"/>
        <v>2.7378</v>
      </c>
      <c r="E405" s="39">
        <f t="shared" si="7"/>
        <v>2.8560999999999996</v>
      </c>
      <c r="F405" s="80">
        <f t="shared" si="8"/>
        <v>2.6244000000000005</v>
      </c>
    </row>
    <row r="406" spans="1:6" ht="12.75">
      <c r="A406" s="496">
        <v>22</v>
      </c>
      <c r="B406" s="65">
        <v>1.61</v>
      </c>
      <c r="C406" s="66">
        <v>1.65</v>
      </c>
      <c r="D406" s="116">
        <f t="shared" si="6"/>
        <v>2.6565</v>
      </c>
      <c r="E406" s="39">
        <f t="shared" si="7"/>
        <v>2.5921000000000003</v>
      </c>
      <c r="F406" s="80">
        <f t="shared" si="8"/>
        <v>2.7224999999999997</v>
      </c>
    </row>
    <row r="407" spans="1:6" ht="12.75">
      <c r="A407" s="496">
        <v>23</v>
      </c>
      <c r="B407" s="65">
        <v>1.85</v>
      </c>
      <c r="C407" s="66">
        <v>1.73</v>
      </c>
      <c r="D407" s="116">
        <f t="shared" si="6"/>
        <v>3.2005</v>
      </c>
      <c r="E407" s="39">
        <f t="shared" si="7"/>
        <v>3.4225000000000003</v>
      </c>
      <c r="F407" s="80">
        <f t="shared" si="8"/>
        <v>2.9929</v>
      </c>
    </row>
    <row r="408" spans="1:6" ht="12.75">
      <c r="A408" s="496">
        <v>24</v>
      </c>
      <c r="B408" s="65">
        <v>1.62</v>
      </c>
      <c r="C408" s="66">
        <v>1.64</v>
      </c>
      <c r="D408" s="116">
        <f t="shared" si="6"/>
        <v>2.6568</v>
      </c>
      <c r="E408" s="39">
        <f t="shared" si="7"/>
        <v>2.6244000000000005</v>
      </c>
      <c r="F408" s="80">
        <f t="shared" si="8"/>
        <v>2.6895999999999995</v>
      </c>
    </row>
    <row r="409" spans="1:6" ht="12.75">
      <c r="A409" s="496">
        <v>25</v>
      </c>
      <c r="B409" s="65">
        <v>1.82</v>
      </c>
      <c r="C409" s="66">
        <v>1.79</v>
      </c>
      <c r="D409" s="116">
        <f t="shared" si="6"/>
        <v>3.2578</v>
      </c>
      <c r="E409" s="39">
        <f t="shared" si="7"/>
        <v>3.3124000000000002</v>
      </c>
      <c r="F409" s="80">
        <f t="shared" si="8"/>
        <v>3.2041</v>
      </c>
    </row>
    <row r="410" spans="1:6" ht="12.75">
      <c r="A410" s="496">
        <v>26</v>
      </c>
      <c r="B410" s="65">
        <v>1.87</v>
      </c>
      <c r="C410" s="66">
        <v>1.82</v>
      </c>
      <c r="D410" s="116">
        <f t="shared" si="6"/>
        <v>3.4034000000000004</v>
      </c>
      <c r="E410" s="39">
        <f t="shared" si="7"/>
        <v>3.4969000000000006</v>
      </c>
      <c r="F410" s="80">
        <f t="shared" si="8"/>
        <v>3.3124000000000002</v>
      </c>
    </row>
    <row r="411" spans="1:6" ht="12.75">
      <c r="A411" s="496">
        <v>27</v>
      </c>
      <c r="B411" s="65">
        <v>1.61</v>
      </c>
      <c r="C411" s="66">
        <v>1.72</v>
      </c>
      <c r="D411" s="116">
        <f t="shared" si="6"/>
        <v>2.7692</v>
      </c>
      <c r="E411" s="39">
        <f t="shared" si="7"/>
        <v>2.5921000000000003</v>
      </c>
      <c r="F411" s="80">
        <f t="shared" si="8"/>
        <v>2.9583999999999997</v>
      </c>
    </row>
    <row r="412" spans="1:6" ht="12.75">
      <c r="A412" s="496">
        <v>28</v>
      </c>
      <c r="B412" s="65">
        <v>1.69</v>
      </c>
      <c r="C412" s="66">
        <v>1.57</v>
      </c>
      <c r="D412" s="116">
        <f t="shared" si="6"/>
        <v>2.6533</v>
      </c>
      <c r="E412" s="39">
        <f t="shared" si="7"/>
        <v>2.8560999999999996</v>
      </c>
      <c r="F412" s="80">
        <f t="shared" si="8"/>
        <v>2.4649</v>
      </c>
    </row>
    <row r="413" spans="1:6" ht="12.75">
      <c r="A413" s="496">
        <v>29</v>
      </c>
      <c r="B413" s="65">
        <v>1.73</v>
      </c>
      <c r="C413" s="66">
        <v>1.62</v>
      </c>
      <c r="D413" s="116">
        <f t="shared" si="6"/>
        <v>2.8026</v>
      </c>
      <c r="E413" s="39">
        <f t="shared" si="7"/>
        <v>2.9929</v>
      </c>
      <c r="F413" s="80">
        <f t="shared" si="8"/>
        <v>2.6244000000000005</v>
      </c>
    </row>
    <row r="414" spans="1:6" ht="12.75">
      <c r="A414" s="496">
        <v>30</v>
      </c>
      <c r="B414" s="65">
        <v>1.65</v>
      </c>
      <c r="C414" s="66">
        <v>1.77</v>
      </c>
      <c r="D414" s="116">
        <f t="shared" si="6"/>
        <v>2.9204999999999997</v>
      </c>
      <c r="E414" s="39">
        <f t="shared" si="7"/>
        <v>2.7224999999999997</v>
      </c>
      <c r="F414" s="80">
        <f t="shared" si="8"/>
        <v>3.1329000000000002</v>
      </c>
    </row>
    <row r="415" spans="1:6" ht="12.75">
      <c r="A415" s="496">
        <v>31</v>
      </c>
      <c r="B415" s="65">
        <v>1.66</v>
      </c>
      <c r="C415" s="66">
        <v>1.7</v>
      </c>
      <c r="D415" s="116">
        <f t="shared" si="6"/>
        <v>2.8219999999999996</v>
      </c>
      <c r="E415" s="39">
        <f t="shared" si="7"/>
        <v>2.7556</v>
      </c>
      <c r="F415" s="80">
        <f t="shared" si="8"/>
        <v>2.8899999999999997</v>
      </c>
    </row>
    <row r="416" spans="1:6" ht="12.75">
      <c r="A416" s="496">
        <v>32</v>
      </c>
      <c r="B416" s="65">
        <v>1.83</v>
      </c>
      <c r="C416" s="66">
        <v>1.74</v>
      </c>
      <c r="D416" s="116">
        <f t="shared" si="6"/>
        <v>3.1842</v>
      </c>
      <c r="E416" s="39">
        <f t="shared" si="7"/>
        <v>3.3489000000000004</v>
      </c>
      <c r="F416" s="80">
        <f t="shared" si="8"/>
        <v>3.0276</v>
      </c>
    </row>
    <row r="417" spans="1:6" ht="12.75">
      <c r="A417" s="496">
        <v>33</v>
      </c>
      <c r="B417" s="65">
        <v>1.88</v>
      </c>
      <c r="C417" s="66">
        <v>1.78</v>
      </c>
      <c r="D417" s="116">
        <f t="shared" si="6"/>
        <v>3.3464</v>
      </c>
      <c r="E417" s="39">
        <f t="shared" si="7"/>
        <v>3.5343999999999998</v>
      </c>
      <c r="F417" s="80">
        <f t="shared" si="8"/>
        <v>3.1684</v>
      </c>
    </row>
    <row r="418" spans="1:6" ht="12.75">
      <c r="A418" s="496">
        <v>34</v>
      </c>
      <c r="B418" s="65">
        <v>1.73</v>
      </c>
      <c r="C418" s="66">
        <v>1.69</v>
      </c>
      <c r="D418" s="116">
        <f t="shared" si="6"/>
        <v>2.9236999999999997</v>
      </c>
      <c r="E418" s="39">
        <f t="shared" si="7"/>
        <v>2.9929</v>
      </c>
      <c r="F418" s="80">
        <f t="shared" si="8"/>
        <v>2.8560999999999996</v>
      </c>
    </row>
    <row r="419" spans="1:6" ht="12.75">
      <c r="A419" s="496">
        <v>35</v>
      </c>
      <c r="B419" s="65">
        <v>1.74</v>
      </c>
      <c r="C419" s="66">
        <v>1.74</v>
      </c>
      <c r="D419" s="116">
        <f t="shared" si="6"/>
        <v>3.0276</v>
      </c>
      <c r="E419" s="39">
        <f t="shared" si="7"/>
        <v>3.0276</v>
      </c>
      <c r="F419" s="80">
        <f t="shared" si="8"/>
        <v>3.0276</v>
      </c>
    </row>
    <row r="420" spans="1:6" ht="12.75">
      <c r="A420" s="496">
        <v>36</v>
      </c>
      <c r="B420" s="65">
        <v>1.7</v>
      </c>
      <c r="C420" s="66">
        <v>1.66</v>
      </c>
      <c r="D420" s="116">
        <f t="shared" si="6"/>
        <v>2.8219999999999996</v>
      </c>
      <c r="E420" s="39">
        <f t="shared" si="7"/>
        <v>2.8899999999999997</v>
      </c>
      <c r="F420" s="80">
        <f t="shared" si="8"/>
        <v>2.7556</v>
      </c>
    </row>
    <row r="421" spans="1:6" ht="12.75">
      <c r="A421" s="496">
        <v>37</v>
      </c>
      <c r="B421" s="65">
        <v>1.58</v>
      </c>
      <c r="C421" s="66">
        <v>1.62</v>
      </c>
      <c r="D421" s="116">
        <f t="shared" si="6"/>
        <v>2.5596</v>
      </c>
      <c r="E421" s="39">
        <f t="shared" si="7"/>
        <v>2.4964000000000004</v>
      </c>
      <c r="F421" s="80">
        <f t="shared" si="8"/>
        <v>2.6244000000000005</v>
      </c>
    </row>
    <row r="422" spans="1:6" ht="12.75">
      <c r="A422" s="496">
        <v>38</v>
      </c>
      <c r="B422" s="65">
        <v>1.5</v>
      </c>
      <c r="C422" s="66">
        <v>1.55</v>
      </c>
      <c r="D422" s="116">
        <f t="shared" si="6"/>
        <v>2.325</v>
      </c>
      <c r="E422" s="39">
        <f t="shared" si="7"/>
        <v>2.25</v>
      </c>
      <c r="F422" s="80">
        <f t="shared" si="8"/>
        <v>2.4025000000000003</v>
      </c>
    </row>
    <row r="423" spans="1:6" ht="12.75">
      <c r="A423" s="496">
        <v>39</v>
      </c>
      <c r="B423" s="65">
        <v>1.82</v>
      </c>
      <c r="C423" s="66">
        <v>1.72</v>
      </c>
      <c r="D423" s="116">
        <f t="shared" si="6"/>
        <v>3.1304</v>
      </c>
      <c r="E423" s="39">
        <f t="shared" si="7"/>
        <v>3.3124000000000002</v>
      </c>
      <c r="F423" s="80">
        <f t="shared" si="8"/>
        <v>2.9583999999999997</v>
      </c>
    </row>
    <row r="424" spans="1:6" ht="12.75">
      <c r="A424" s="496">
        <v>40</v>
      </c>
      <c r="B424" s="65">
        <v>1.67</v>
      </c>
      <c r="C424" s="66">
        <v>1.74</v>
      </c>
      <c r="D424" s="116">
        <f t="shared" si="6"/>
        <v>2.9057999999999997</v>
      </c>
      <c r="E424" s="39">
        <f t="shared" si="7"/>
        <v>2.7889</v>
      </c>
      <c r="F424" s="80">
        <f t="shared" si="8"/>
        <v>3.0276</v>
      </c>
    </row>
    <row r="425" spans="1:6" ht="12.75">
      <c r="A425" s="496">
        <v>41</v>
      </c>
      <c r="B425" s="65">
        <v>1.72</v>
      </c>
      <c r="C425" s="66">
        <v>1.61</v>
      </c>
      <c r="D425" s="116">
        <f t="shared" si="6"/>
        <v>2.7692</v>
      </c>
      <c r="E425" s="39">
        <f t="shared" si="7"/>
        <v>2.9583999999999997</v>
      </c>
      <c r="F425" s="80">
        <f t="shared" si="8"/>
        <v>2.5921000000000003</v>
      </c>
    </row>
    <row r="426" spans="1:6" ht="12.75">
      <c r="A426" s="496">
        <v>42</v>
      </c>
      <c r="B426" s="65">
        <v>1.78</v>
      </c>
      <c r="C426" s="66">
        <v>1.75</v>
      </c>
      <c r="D426" s="116">
        <f t="shared" si="6"/>
        <v>3.115</v>
      </c>
      <c r="E426" s="39">
        <f t="shared" si="7"/>
        <v>3.1684</v>
      </c>
      <c r="F426" s="80">
        <f t="shared" si="8"/>
        <v>3.0625</v>
      </c>
    </row>
    <row r="427" spans="1:6" ht="12.75">
      <c r="A427" s="496">
        <v>43</v>
      </c>
      <c r="B427" s="65">
        <v>1.85</v>
      </c>
      <c r="C427" s="66">
        <v>1.72</v>
      </c>
      <c r="D427" s="116">
        <f t="shared" si="6"/>
        <v>3.182</v>
      </c>
      <c r="E427" s="39">
        <f t="shared" si="7"/>
        <v>3.4225000000000003</v>
      </c>
      <c r="F427" s="80">
        <f t="shared" si="8"/>
        <v>2.9583999999999997</v>
      </c>
    </row>
    <row r="428" spans="1:6" ht="12.75">
      <c r="A428" s="496">
        <v>44</v>
      </c>
      <c r="B428" s="65">
        <v>1.84</v>
      </c>
      <c r="C428" s="66">
        <v>1.76</v>
      </c>
      <c r="D428" s="116">
        <f t="shared" si="6"/>
        <v>3.2384</v>
      </c>
      <c r="E428" s="39">
        <f t="shared" si="7"/>
        <v>3.3856</v>
      </c>
      <c r="F428" s="80">
        <f t="shared" si="8"/>
        <v>3.0976</v>
      </c>
    </row>
    <row r="429" spans="1:6" ht="12.75">
      <c r="A429" s="496">
        <v>45</v>
      </c>
      <c r="B429" s="65">
        <v>1.83</v>
      </c>
      <c r="C429" s="66">
        <v>1.83</v>
      </c>
      <c r="D429" s="116">
        <f t="shared" si="6"/>
        <v>3.3489000000000004</v>
      </c>
      <c r="E429" s="39">
        <f t="shared" si="7"/>
        <v>3.3489000000000004</v>
      </c>
      <c r="F429" s="80">
        <f t="shared" si="8"/>
        <v>3.3489000000000004</v>
      </c>
    </row>
    <row r="430" spans="1:6" ht="12.75">
      <c r="A430" s="496">
        <v>46</v>
      </c>
      <c r="B430" s="65">
        <v>1.59</v>
      </c>
      <c r="C430" s="66">
        <v>1.7</v>
      </c>
      <c r="D430" s="116">
        <f t="shared" si="6"/>
        <v>2.703</v>
      </c>
      <c r="E430" s="39">
        <f t="shared" si="7"/>
        <v>2.5281000000000002</v>
      </c>
      <c r="F430" s="80">
        <f t="shared" si="8"/>
        <v>2.8899999999999997</v>
      </c>
    </row>
    <row r="431" spans="1:6" ht="12.75">
      <c r="A431" s="496">
        <v>47</v>
      </c>
      <c r="B431" s="65">
        <v>1.5</v>
      </c>
      <c r="C431" s="66">
        <v>1.56</v>
      </c>
      <c r="D431" s="116">
        <f t="shared" si="6"/>
        <v>2.34</v>
      </c>
      <c r="E431" s="39">
        <f t="shared" si="7"/>
        <v>2.25</v>
      </c>
      <c r="F431" s="80">
        <f t="shared" si="8"/>
        <v>2.4336</v>
      </c>
    </row>
    <row r="432" spans="1:6" ht="12.75">
      <c r="A432" s="496">
        <v>48</v>
      </c>
      <c r="B432" s="65">
        <v>1.45</v>
      </c>
      <c r="C432" s="66">
        <v>1.52</v>
      </c>
      <c r="D432" s="116">
        <f t="shared" si="6"/>
        <v>2.2039999999999997</v>
      </c>
      <c r="E432" s="39">
        <f t="shared" si="7"/>
        <v>2.1025</v>
      </c>
      <c r="F432" s="80">
        <f t="shared" si="8"/>
        <v>2.3104</v>
      </c>
    </row>
    <row r="433" spans="1:6" ht="12.75">
      <c r="A433" s="496">
        <v>49</v>
      </c>
      <c r="B433" s="65">
        <v>1.68</v>
      </c>
      <c r="C433" s="66">
        <v>1.56</v>
      </c>
      <c r="D433" s="116">
        <f t="shared" si="6"/>
        <v>2.6208</v>
      </c>
      <c r="E433" s="39">
        <f t="shared" si="7"/>
        <v>2.8223999999999996</v>
      </c>
      <c r="F433" s="80">
        <f t="shared" si="8"/>
        <v>2.4336</v>
      </c>
    </row>
    <row r="434" spans="1:6" ht="12.75">
      <c r="A434" s="496">
        <v>50</v>
      </c>
      <c r="B434" s="65">
        <v>1.7</v>
      </c>
      <c r="C434" s="66">
        <v>1.69</v>
      </c>
      <c r="D434" s="116">
        <f t="shared" si="6"/>
        <v>2.8729999999999998</v>
      </c>
      <c r="E434" s="39">
        <f t="shared" si="7"/>
        <v>2.8899999999999997</v>
      </c>
      <c r="F434" s="80">
        <f t="shared" si="8"/>
        <v>2.8560999999999996</v>
      </c>
    </row>
    <row r="435" spans="1:6" ht="12.75">
      <c r="A435" s="496">
        <v>51</v>
      </c>
      <c r="B435" s="65">
        <v>1.53</v>
      </c>
      <c r="C435" s="66">
        <v>1.61</v>
      </c>
      <c r="D435" s="116">
        <f t="shared" si="6"/>
        <v>2.4633000000000003</v>
      </c>
      <c r="E435" s="39">
        <f t="shared" si="7"/>
        <v>2.3409</v>
      </c>
      <c r="F435" s="80">
        <f t="shared" si="8"/>
        <v>2.5921000000000003</v>
      </c>
    </row>
    <row r="436" spans="1:6" ht="12.75">
      <c r="A436" s="496">
        <v>52</v>
      </c>
      <c r="B436" s="65">
        <v>1.74</v>
      </c>
      <c r="C436" s="66">
        <v>1.65</v>
      </c>
      <c r="D436" s="116">
        <f t="shared" si="6"/>
        <v>2.871</v>
      </c>
      <c r="E436" s="39">
        <f t="shared" si="7"/>
        <v>3.0276</v>
      </c>
      <c r="F436" s="80">
        <f t="shared" si="8"/>
        <v>2.7224999999999997</v>
      </c>
    </row>
    <row r="437" spans="1:6" ht="12.75">
      <c r="A437" s="496">
        <v>53</v>
      </c>
      <c r="B437" s="65">
        <v>1.67</v>
      </c>
      <c r="C437" s="66">
        <v>1.68</v>
      </c>
      <c r="D437" s="116">
        <f t="shared" si="6"/>
        <v>2.8055999999999996</v>
      </c>
      <c r="E437" s="39">
        <f t="shared" si="7"/>
        <v>2.7889</v>
      </c>
      <c r="F437" s="80">
        <f t="shared" si="8"/>
        <v>2.8223999999999996</v>
      </c>
    </row>
    <row r="438" spans="1:6" ht="12.75">
      <c r="A438" s="496">
        <v>54</v>
      </c>
      <c r="B438" s="65">
        <v>1.67</v>
      </c>
      <c r="C438" s="66">
        <v>1.6</v>
      </c>
      <c r="D438" s="116">
        <f t="shared" si="6"/>
        <v>2.672</v>
      </c>
      <c r="E438" s="39">
        <f t="shared" si="7"/>
        <v>2.7889</v>
      </c>
      <c r="F438" s="80">
        <f t="shared" si="8"/>
        <v>2.5600000000000005</v>
      </c>
    </row>
    <row r="439" spans="1:6" ht="12.75">
      <c r="A439" s="496">
        <v>55</v>
      </c>
      <c r="B439" s="65">
        <v>1.54</v>
      </c>
      <c r="C439" s="66">
        <v>1.62</v>
      </c>
      <c r="D439" s="116">
        <f t="shared" si="6"/>
        <v>2.4948</v>
      </c>
      <c r="E439" s="39">
        <f t="shared" si="7"/>
        <v>2.3716</v>
      </c>
      <c r="F439" s="80">
        <f t="shared" si="8"/>
        <v>2.6244000000000005</v>
      </c>
    </row>
    <row r="440" spans="1:6" ht="12.75">
      <c r="A440" s="496">
        <v>56</v>
      </c>
      <c r="B440" s="65">
        <v>1.77</v>
      </c>
      <c r="C440" s="66">
        <v>1.76</v>
      </c>
      <c r="D440" s="116">
        <f t="shared" si="6"/>
        <v>3.1152</v>
      </c>
      <c r="E440" s="39">
        <f t="shared" si="7"/>
        <v>3.1329000000000002</v>
      </c>
      <c r="F440" s="80">
        <f t="shared" si="8"/>
        <v>3.0976</v>
      </c>
    </row>
    <row r="441" spans="1:6" ht="12.75">
      <c r="A441" s="496">
        <v>57</v>
      </c>
      <c r="B441" s="65">
        <v>1.64</v>
      </c>
      <c r="C441" s="66">
        <v>1.66</v>
      </c>
      <c r="D441" s="116">
        <f t="shared" si="6"/>
        <v>2.7223999999999995</v>
      </c>
      <c r="E441" s="39">
        <f t="shared" si="7"/>
        <v>2.6895999999999995</v>
      </c>
      <c r="F441" s="80">
        <f t="shared" si="8"/>
        <v>2.7556</v>
      </c>
    </row>
    <row r="442" spans="1:6" ht="12.75">
      <c r="A442" s="496">
        <v>58</v>
      </c>
      <c r="B442" s="65">
        <v>1.81</v>
      </c>
      <c r="C442" s="66">
        <v>1.7</v>
      </c>
      <c r="D442" s="116">
        <f t="shared" si="6"/>
        <v>3.077</v>
      </c>
      <c r="E442" s="39">
        <f t="shared" si="7"/>
        <v>3.2761</v>
      </c>
      <c r="F442" s="80">
        <f t="shared" si="8"/>
        <v>2.8899999999999997</v>
      </c>
    </row>
    <row r="443" spans="1:6" ht="12.75">
      <c r="A443" s="496">
        <v>59</v>
      </c>
      <c r="B443" s="65">
        <v>1.7</v>
      </c>
      <c r="C443" s="66">
        <v>1.66</v>
      </c>
      <c r="D443" s="116">
        <f t="shared" si="6"/>
        <v>2.8219999999999996</v>
      </c>
      <c r="E443" s="39">
        <f t="shared" si="7"/>
        <v>2.8899999999999997</v>
      </c>
      <c r="F443" s="80">
        <f t="shared" si="8"/>
        <v>2.7556</v>
      </c>
    </row>
    <row r="444" spans="1:6" ht="12.75">
      <c r="A444" s="496">
        <v>60</v>
      </c>
      <c r="B444" s="65">
        <v>1.67</v>
      </c>
      <c r="C444" s="66">
        <v>1.62</v>
      </c>
      <c r="D444" s="116">
        <f t="shared" si="6"/>
        <v>2.7054</v>
      </c>
      <c r="E444" s="39">
        <f t="shared" si="7"/>
        <v>2.7889</v>
      </c>
      <c r="F444" s="80">
        <f t="shared" si="8"/>
        <v>2.6244000000000005</v>
      </c>
    </row>
    <row r="445" spans="1:6" ht="12.75">
      <c r="A445" s="496">
        <v>61</v>
      </c>
      <c r="B445" s="65">
        <v>1.48</v>
      </c>
      <c r="C445" s="66">
        <v>1.58</v>
      </c>
      <c r="D445" s="116">
        <f t="shared" si="6"/>
        <v>2.3384</v>
      </c>
      <c r="E445" s="39">
        <f t="shared" si="7"/>
        <v>2.1904</v>
      </c>
      <c r="F445" s="80">
        <f t="shared" si="8"/>
        <v>2.4964000000000004</v>
      </c>
    </row>
    <row r="446" spans="1:6" ht="12.75">
      <c r="A446" s="496">
        <v>62</v>
      </c>
      <c r="B446" s="65">
        <v>1.67</v>
      </c>
      <c r="C446" s="66">
        <v>1.68</v>
      </c>
      <c r="D446" s="116">
        <f t="shared" si="6"/>
        <v>2.8055999999999996</v>
      </c>
      <c r="E446" s="39">
        <f t="shared" si="7"/>
        <v>2.7889</v>
      </c>
      <c r="F446" s="80">
        <f t="shared" si="8"/>
        <v>2.8223999999999996</v>
      </c>
    </row>
    <row r="447" spans="1:6" ht="12.75">
      <c r="A447" s="496">
        <v>63</v>
      </c>
      <c r="B447" s="65">
        <v>1.66</v>
      </c>
      <c r="C447" s="66">
        <v>1.68</v>
      </c>
      <c r="D447" s="116">
        <f t="shared" si="6"/>
        <v>2.7887999999999997</v>
      </c>
      <c r="E447" s="39">
        <f t="shared" si="7"/>
        <v>2.7556</v>
      </c>
      <c r="F447" s="80">
        <f t="shared" si="8"/>
        <v>2.8223999999999996</v>
      </c>
    </row>
    <row r="448" spans="1:6" ht="12.75">
      <c r="A448" s="496">
        <v>64</v>
      </c>
      <c r="B448" s="65">
        <v>1.56</v>
      </c>
      <c r="C448" s="66">
        <v>1.67</v>
      </c>
      <c r="D448" s="116">
        <f t="shared" si="6"/>
        <v>2.6052</v>
      </c>
      <c r="E448" s="39">
        <f t="shared" si="7"/>
        <v>2.4336</v>
      </c>
      <c r="F448" s="80">
        <f t="shared" si="8"/>
        <v>2.7889</v>
      </c>
    </row>
    <row r="449" spans="1:6" ht="12.75">
      <c r="A449" s="496">
        <v>65</v>
      </c>
      <c r="B449" s="65">
        <v>1.64</v>
      </c>
      <c r="C449" s="66">
        <v>1.66</v>
      </c>
      <c r="D449" s="116">
        <f t="shared" si="6"/>
        <v>2.7223999999999995</v>
      </c>
      <c r="E449" s="39">
        <f t="shared" si="7"/>
        <v>2.6895999999999995</v>
      </c>
      <c r="F449" s="80">
        <f t="shared" si="8"/>
        <v>2.7556</v>
      </c>
    </row>
    <row r="450" spans="1:6" ht="12.75">
      <c r="A450" s="496">
        <v>66</v>
      </c>
      <c r="B450" s="65">
        <v>1.71</v>
      </c>
      <c r="C450" s="66">
        <v>1.68</v>
      </c>
      <c r="D450" s="116">
        <f aca="true" t="shared" si="9" ref="D450:D469">B450*C450</f>
        <v>2.8728</v>
      </c>
      <c r="E450" s="39">
        <f aca="true" t="shared" si="10" ref="E450:E469">B450^2</f>
        <v>2.9240999999999997</v>
      </c>
      <c r="F450" s="80">
        <f aca="true" t="shared" si="11" ref="F450:F469">C450^2</f>
        <v>2.8223999999999996</v>
      </c>
    </row>
    <row r="451" spans="1:6" ht="12.75">
      <c r="A451" s="496">
        <v>67</v>
      </c>
      <c r="B451" s="65">
        <v>1.56</v>
      </c>
      <c r="C451" s="66">
        <v>1.64</v>
      </c>
      <c r="D451" s="116">
        <f t="shared" si="9"/>
        <v>2.5584</v>
      </c>
      <c r="E451" s="39">
        <f t="shared" si="10"/>
        <v>2.4336</v>
      </c>
      <c r="F451" s="80">
        <f t="shared" si="11"/>
        <v>2.6895999999999995</v>
      </c>
    </row>
    <row r="452" spans="1:6" ht="12.75">
      <c r="A452" s="496">
        <v>68</v>
      </c>
      <c r="B452" s="65">
        <v>1.73</v>
      </c>
      <c r="C452" s="66">
        <v>1.71</v>
      </c>
      <c r="D452" s="116">
        <f t="shared" si="9"/>
        <v>2.9583</v>
      </c>
      <c r="E452" s="39">
        <f t="shared" si="10"/>
        <v>2.9929</v>
      </c>
      <c r="F452" s="80">
        <f t="shared" si="11"/>
        <v>2.9240999999999997</v>
      </c>
    </row>
    <row r="453" spans="1:6" ht="12.75">
      <c r="A453" s="496">
        <v>69</v>
      </c>
      <c r="B453" s="65">
        <v>1.8</v>
      </c>
      <c r="C453" s="66">
        <v>1.76</v>
      </c>
      <c r="D453" s="116">
        <f t="shared" si="9"/>
        <v>3.168</v>
      </c>
      <c r="E453" s="39">
        <f t="shared" si="10"/>
        <v>3.24</v>
      </c>
      <c r="F453" s="80">
        <f t="shared" si="11"/>
        <v>3.0976</v>
      </c>
    </row>
    <row r="454" spans="1:6" ht="12.75">
      <c r="A454" s="496">
        <v>70</v>
      </c>
      <c r="B454" s="65">
        <v>1.47</v>
      </c>
      <c r="C454" s="66">
        <v>1.62</v>
      </c>
      <c r="D454" s="116">
        <f t="shared" si="9"/>
        <v>2.3814</v>
      </c>
      <c r="E454" s="39">
        <f t="shared" si="10"/>
        <v>2.1609</v>
      </c>
      <c r="F454" s="80">
        <f t="shared" si="11"/>
        <v>2.6244000000000005</v>
      </c>
    </row>
    <row r="455" spans="1:6" ht="12.75">
      <c r="A455" s="496">
        <v>71</v>
      </c>
      <c r="B455" s="65">
        <v>1.7</v>
      </c>
      <c r="C455" s="66">
        <v>1.64</v>
      </c>
      <c r="D455" s="116">
        <f t="shared" si="9"/>
        <v>2.788</v>
      </c>
      <c r="E455" s="39">
        <f t="shared" si="10"/>
        <v>2.8899999999999997</v>
      </c>
      <c r="F455" s="80">
        <f t="shared" si="11"/>
        <v>2.6895999999999995</v>
      </c>
    </row>
    <row r="456" spans="1:6" ht="12.75">
      <c r="A456" s="496">
        <v>72</v>
      </c>
      <c r="B456" s="65">
        <v>1.88</v>
      </c>
      <c r="C456" s="66">
        <v>1.87</v>
      </c>
      <c r="D456" s="116">
        <f t="shared" si="9"/>
        <v>3.5156</v>
      </c>
      <c r="E456" s="39">
        <f t="shared" si="10"/>
        <v>3.5343999999999998</v>
      </c>
      <c r="F456" s="80">
        <f t="shared" si="11"/>
        <v>3.4969000000000006</v>
      </c>
    </row>
    <row r="457" spans="1:6" ht="12.75">
      <c r="A457" s="496">
        <v>73</v>
      </c>
      <c r="B457" s="65">
        <v>1.5</v>
      </c>
      <c r="C457" s="66">
        <v>1.6</v>
      </c>
      <c r="D457" s="116">
        <f t="shared" si="9"/>
        <v>2.4000000000000004</v>
      </c>
      <c r="E457" s="39">
        <f t="shared" si="10"/>
        <v>2.25</v>
      </c>
      <c r="F457" s="80">
        <f t="shared" si="11"/>
        <v>2.5600000000000005</v>
      </c>
    </row>
    <row r="458" spans="1:6" ht="12.75">
      <c r="A458" s="496">
        <v>74</v>
      </c>
      <c r="B458" s="65">
        <v>1.82</v>
      </c>
      <c r="C458" s="66">
        <v>1.77</v>
      </c>
      <c r="D458" s="116">
        <f t="shared" si="9"/>
        <v>3.2214</v>
      </c>
      <c r="E458" s="39">
        <f t="shared" si="10"/>
        <v>3.3124000000000002</v>
      </c>
      <c r="F458" s="80">
        <f t="shared" si="11"/>
        <v>3.1329000000000002</v>
      </c>
    </row>
    <row r="459" spans="1:6" ht="12.75">
      <c r="A459" s="496">
        <v>75</v>
      </c>
      <c r="B459" s="65">
        <v>1.57</v>
      </c>
      <c r="C459" s="66">
        <v>1.66</v>
      </c>
      <c r="D459" s="116">
        <f t="shared" si="9"/>
        <v>2.6062</v>
      </c>
      <c r="E459" s="39">
        <f t="shared" si="10"/>
        <v>2.4649</v>
      </c>
      <c r="F459" s="80">
        <f t="shared" si="11"/>
        <v>2.7556</v>
      </c>
    </row>
    <row r="460" spans="1:6" ht="12.75">
      <c r="A460" s="496">
        <v>76</v>
      </c>
      <c r="B460" s="65">
        <v>1.82</v>
      </c>
      <c r="C460" s="66">
        <v>1.74</v>
      </c>
      <c r="D460" s="116">
        <f t="shared" si="9"/>
        <v>3.1668000000000003</v>
      </c>
      <c r="E460" s="39">
        <f t="shared" si="10"/>
        <v>3.3124000000000002</v>
      </c>
      <c r="F460" s="80">
        <f t="shared" si="11"/>
        <v>3.0276</v>
      </c>
    </row>
    <row r="461" spans="1:6" ht="12.75">
      <c r="A461" s="496">
        <v>77</v>
      </c>
      <c r="B461" s="65">
        <v>1.55</v>
      </c>
      <c r="C461" s="66">
        <v>1.62</v>
      </c>
      <c r="D461" s="116">
        <f t="shared" si="9"/>
        <v>2.511</v>
      </c>
      <c r="E461" s="39">
        <f t="shared" si="10"/>
        <v>2.4025000000000003</v>
      </c>
      <c r="F461" s="80">
        <f t="shared" si="11"/>
        <v>2.6244000000000005</v>
      </c>
    </row>
    <row r="462" spans="1:6" ht="12.75">
      <c r="A462" s="496">
        <v>78</v>
      </c>
      <c r="B462" s="65">
        <v>1.77</v>
      </c>
      <c r="C462" s="66">
        <v>1.68</v>
      </c>
      <c r="D462" s="116">
        <f t="shared" si="9"/>
        <v>2.9736</v>
      </c>
      <c r="E462" s="39">
        <f t="shared" si="10"/>
        <v>3.1329000000000002</v>
      </c>
      <c r="F462" s="80">
        <f t="shared" si="11"/>
        <v>2.8223999999999996</v>
      </c>
    </row>
    <row r="463" spans="1:6" ht="12.75">
      <c r="A463" s="496">
        <v>79</v>
      </c>
      <c r="B463" s="65">
        <v>1.52</v>
      </c>
      <c r="C463" s="66">
        <v>1.65</v>
      </c>
      <c r="D463" s="116">
        <f t="shared" si="9"/>
        <v>2.508</v>
      </c>
      <c r="E463" s="39">
        <f t="shared" si="10"/>
        <v>2.3104</v>
      </c>
      <c r="F463" s="80">
        <f t="shared" si="11"/>
        <v>2.7224999999999997</v>
      </c>
    </row>
    <row r="464" spans="1:6" ht="12.75">
      <c r="A464" s="496">
        <v>80</v>
      </c>
      <c r="B464" s="65">
        <v>1.85</v>
      </c>
      <c r="C464" s="66">
        <v>1.79</v>
      </c>
      <c r="D464" s="116">
        <f t="shared" si="9"/>
        <v>3.3115</v>
      </c>
      <c r="E464" s="39">
        <f t="shared" si="10"/>
        <v>3.4225000000000003</v>
      </c>
      <c r="F464" s="80">
        <f t="shared" si="11"/>
        <v>3.2041</v>
      </c>
    </row>
    <row r="465" spans="1:6" ht="12.75">
      <c r="A465" s="496">
        <v>81</v>
      </c>
      <c r="B465" s="65">
        <v>1.51</v>
      </c>
      <c r="C465" s="66">
        <v>1.58</v>
      </c>
      <c r="D465" s="116">
        <f t="shared" si="9"/>
        <v>2.3858</v>
      </c>
      <c r="E465" s="39">
        <f t="shared" si="10"/>
        <v>2.2801</v>
      </c>
      <c r="F465" s="80">
        <f t="shared" si="11"/>
        <v>2.4964000000000004</v>
      </c>
    </row>
    <row r="466" spans="1:6" ht="12.75">
      <c r="A466" s="496">
        <v>82</v>
      </c>
      <c r="B466" s="65">
        <v>1.84</v>
      </c>
      <c r="C466" s="66">
        <v>1.73</v>
      </c>
      <c r="D466" s="116">
        <f t="shared" si="9"/>
        <v>3.1832000000000003</v>
      </c>
      <c r="E466" s="39">
        <f t="shared" si="10"/>
        <v>3.3856</v>
      </c>
      <c r="F466" s="80">
        <f t="shared" si="11"/>
        <v>2.9929</v>
      </c>
    </row>
    <row r="467" spans="1:6" ht="12.75">
      <c r="A467" s="496">
        <v>83</v>
      </c>
      <c r="B467" s="65">
        <v>1.77</v>
      </c>
      <c r="C467" s="66">
        <v>1.75</v>
      </c>
      <c r="D467" s="116">
        <f t="shared" si="9"/>
        <v>3.0975</v>
      </c>
      <c r="E467" s="39">
        <f t="shared" si="10"/>
        <v>3.1329000000000002</v>
      </c>
      <c r="F467" s="80">
        <f t="shared" si="11"/>
        <v>3.0625</v>
      </c>
    </row>
    <row r="468" spans="1:6" ht="12.75">
      <c r="A468" s="496">
        <v>84</v>
      </c>
      <c r="B468" s="65">
        <v>1.87</v>
      </c>
      <c r="C468" s="66">
        <v>1.85</v>
      </c>
      <c r="D468" s="116">
        <f t="shared" si="9"/>
        <v>3.4595000000000002</v>
      </c>
      <c r="E468" s="39">
        <f t="shared" si="10"/>
        <v>3.4969000000000006</v>
      </c>
      <c r="F468" s="80">
        <f t="shared" si="11"/>
        <v>3.4225000000000003</v>
      </c>
    </row>
    <row r="469" spans="1:6" ht="12.75">
      <c r="A469" s="497">
        <v>85</v>
      </c>
      <c r="B469" s="67">
        <v>1.5</v>
      </c>
      <c r="C469" s="68">
        <v>1.6</v>
      </c>
      <c r="D469" s="117">
        <f t="shared" si="9"/>
        <v>2.4000000000000004</v>
      </c>
      <c r="E469" s="82">
        <f t="shared" si="10"/>
        <v>2.25</v>
      </c>
      <c r="F469" s="83">
        <f t="shared" si="11"/>
        <v>2.5600000000000005</v>
      </c>
    </row>
    <row r="470" ht="12.75">
      <c r="C470" s="20"/>
    </row>
    <row r="472" ht="12.75">
      <c r="A472" s="64" t="s">
        <v>142</v>
      </c>
    </row>
    <row r="473" spans="1:4" ht="13.5" thickBot="1">
      <c r="A473" s="504"/>
      <c r="B473" s="505" t="s">
        <v>135</v>
      </c>
      <c r="C473" s="505" t="s">
        <v>136</v>
      </c>
      <c r="D473" s="524" t="s">
        <v>137</v>
      </c>
    </row>
    <row r="474" spans="1:4" ht="13.5" thickTop="1">
      <c r="A474" s="498" t="s">
        <v>134</v>
      </c>
      <c r="B474" s="118">
        <f>COUNT(C385:C469)</f>
        <v>85</v>
      </c>
      <c r="C474" s="28"/>
      <c r="D474" s="38"/>
    </row>
    <row r="475" spans="1:4" ht="12.75">
      <c r="A475" s="498" t="s">
        <v>104</v>
      </c>
      <c r="B475" s="122">
        <f>SUM(C385:C469)</f>
        <v>142.97</v>
      </c>
      <c r="C475" s="86">
        <f>SUM(B385:B469)</f>
        <v>143.36</v>
      </c>
      <c r="D475" s="80"/>
    </row>
    <row r="476" spans="1:4" ht="12.75">
      <c r="A476" s="498" t="s">
        <v>138</v>
      </c>
      <c r="B476" s="8">
        <f>B475/B474</f>
        <v>1.682</v>
      </c>
      <c r="C476" s="123">
        <f>C475/B474</f>
        <v>1.6865882352941177</v>
      </c>
      <c r="D476" s="38"/>
    </row>
    <row r="477" spans="1:4" ht="12.75">
      <c r="A477" s="498" t="s">
        <v>139</v>
      </c>
      <c r="B477" s="95">
        <f>B475^2/B474</f>
        <v>240.47554000000002</v>
      </c>
      <c r="C477" s="124">
        <f>C475^2/B474</f>
        <v>241.78928941176474</v>
      </c>
      <c r="D477" s="125">
        <f>(B475*C475)/B474</f>
        <v>241.13152000000002</v>
      </c>
    </row>
    <row r="478" spans="1:4" ht="12.75">
      <c r="A478" s="498" t="s">
        <v>140</v>
      </c>
      <c r="B478" s="85">
        <f>SUM(F385:F469)</f>
        <v>240.96269999999996</v>
      </c>
      <c r="C478" s="95">
        <f>SUM(E385:E469)</f>
        <v>243.04880000000014</v>
      </c>
      <c r="D478" s="128">
        <f>SUM(D385:D469)</f>
        <v>241.74680000000006</v>
      </c>
    </row>
    <row r="479" spans="1:4" ht="12.75">
      <c r="A479" s="498" t="s">
        <v>141</v>
      </c>
      <c r="B479" s="124">
        <f>B478-B477</f>
        <v>0.48715999999993187</v>
      </c>
      <c r="C479" s="126">
        <f>C478-C477</f>
        <v>1.2595105882354005</v>
      </c>
      <c r="D479" s="127">
        <f>D478-D477</f>
        <v>0.6152800000000411</v>
      </c>
    </row>
    <row r="480" spans="1:5" ht="12.75">
      <c r="A480" s="498" t="s">
        <v>5</v>
      </c>
      <c r="B480" s="93">
        <f>D479/C479</f>
        <v>0.48850720728125097</v>
      </c>
      <c r="C480" s="28"/>
      <c r="D480" s="38"/>
      <c r="E480" s="99"/>
    </row>
    <row r="481" spans="1:5" ht="12.75">
      <c r="A481" s="499" t="s">
        <v>83</v>
      </c>
      <c r="B481" s="129">
        <f>B476-B480*C476</f>
        <v>0.8580894913430571</v>
      </c>
      <c r="C481" s="30"/>
      <c r="D481" s="54"/>
      <c r="E481" s="99"/>
    </row>
    <row r="485" ht="12.75">
      <c r="A485" s="64" t="s">
        <v>291</v>
      </c>
    </row>
    <row r="486" spans="1:8" ht="12.75">
      <c r="A486" s="529" t="s">
        <v>292</v>
      </c>
      <c r="B486" s="529"/>
      <c r="C486" s="529"/>
      <c r="D486" s="529"/>
      <c r="E486" s="529"/>
      <c r="F486" s="529"/>
      <c r="G486" s="529"/>
      <c r="H486" s="529"/>
    </row>
    <row r="487" spans="1:8" ht="12.75">
      <c r="A487" s="525" t="s">
        <v>143</v>
      </c>
      <c r="B487" s="514" t="s">
        <v>114</v>
      </c>
      <c r="C487" s="526" t="s">
        <v>144</v>
      </c>
      <c r="D487" s="512" t="s">
        <v>116</v>
      </c>
      <c r="E487" s="511" t="s">
        <v>145</v>
      </c>
      <c r="F487" s="514" t="s">
        <v>146</v>
      </c>
      <c r="G487" s="629" t="s">
        <v>147</v>
      </c>
      <c r="H487" s="630"/>
    </row>
    <row r="488" spans="1:8" ht="13.5" thickBot="1">
      <c r="A488" s="527" t="s">
        <v>148</v>
      </c>
      <c r="B488" s="517" t="s">
        <v>117</v>
      </c>
      <c r="C488" s="516" t="s">
        <v>116</v>
      </c>
      <c r="D488" s="528" t="s">
        <v>149</v>
      </c>
      <c r="E488" s="519" t="s">
        <v>150</v>
      </c>
      <c r="F488" s="517" t="s">
        <v>151</v>
      </c>
      <c r="G488" s="519" t="s">
        <v>152</v>
      </c>
      <c r="H488" s="520" t="s">
        <v>153</v>
      </c>
    </row>
    <row r="489" spans="1:8" ht="13.5" thickTop="1">
      <c r="A489" s="498" t="s">
        <v>154</v>
      </c>
      <c r="B489" s="144">
        <v>1</v>
      </c>
      <c r="C489" s="131">
        <f>B480^2*C479</f>
        <v>0.3005687144960282</v>
      </c>
      <c r="D489" s="132">
        <f>C489/B489</f>
        <v>0.3005687144960282</v>
      </c>
      <c r="E489" s="131">
        <f>D489/D490</f>
        <v>133.6997236274918</v>
      </c>
      <c r="F489" s="147">
        <f>FDIST(E489,B489,B490)</f>
        <v>5.577742727608233E-19</v>
      </c>
      <c r="G489" s="131">
        <f>FINV(0.05,B489,B490)</f>
        <v>3.9559608589152546</v>
      </c>
      <c r="H489" s="132">
        <f>FINV(0.01,B489,B490)</f>
        <v>6.950440193820235</v>
      </c>
    </row>
    <row r="490" spans="1:8" ht="12.75">
      <c r="A490" s="498" t="s">
        <v>155</v>
      </c>
      <c r="B490" s="144">
        <f>B491-B489</f>
        <v>83</v>
      </c>
      <c r="C490" s="131">
        <f>C491-C489</f>
        <v>0.1865912855039037</v>
      </c>
      <c r="D490" s="132">
        <f>C490/B490</f>
        <v>0.002248087777155466</v>
      </c>
      <c r="E490" s="133"/>
      <c r="F490" s="134"/>
      <c r="G490" s="133"/>
      <c r="H490" s="134"/>
    </row>
    <row r="491" spans="1:8" ht="12.75">
      <c r="A491" s="499" t="s">
        <v>50</v>
      </c>
      <c r="B491" s="145">
        <f>B474-1</f>
        <v>84</v>
      </c>
      <c r="C491" s="136">
        <f>B479</f>
        <v>0.48715999999993187</v>
      </c>
      <c r="D491" s="137"/>
      <c r="E491" s="138"/>
      <c r="F491" s="139"/>
      <c r="G491" s="138"/>
      <c r="H491" s="139"/>
    </row>
    <row r="492" spans="1:8" ht="12.75">
      <c r="A492" s="530" t="s">
        <v>156</v>
      </c>
      <c r="B492" s="146">
        <f>B476</f>
        <v>1.682</v>
      </c>
      <c r="C492" s="141"/>
      <c r="D492" s="141"/>
      <c r="E492" s="21"/>
      <c r="F492" s="21"/>
      <c r="G492" s="21"/>
      <c r="H492" s="21"/>
    </row>
    <row r="493" spans="1:8" ht="12.75">
      <c r="A493" s="530" t="s">
        <v>157</v>
      </c>
      <c r="B493" s="152">
        <f>SQRT(D490)</f>
        <v>0.04741400401943993</v>
      </c>
      <c r="C493" s="141"/>
      <c r="D493" s="141"/>
      <c r="E493" s="21"/>
      <c r="F493" s="21"/>
      <c r="G493" s="21"/>
      <c r="H493" s="21"/>
    </row>
    <row r="494" spans="1:8" ht="12.75">
      <c r="A494" s="530" t="s">
        <v>158</v>
      </c>
      <c r="B494" s="142">
        <f>B493/B492</f>
        <v>0.028189063031771662</v>
      </c>
      <c r="C494" s="21"/>
      <c r="D494" s="21"/>
      <c r="E494" s="21"/>
      <c r="F494" s="21"/>
      <c r="G494" s="21"/>
      <c r="H494" s="21"/>
    </row>
    <row r="495" spans="1:8" ht="12.75">
      <c r="A495" s="531" t="s">
        <v>159</v>
      </c>
      <c r="B495" s="153">
        <f>C489/C491</f>
        <v>0.6169815142788205</v>
      </c>
      <c r="C495" s="141"/>
      <c r="D495" s="141"/>
      <c r="E495" s="21"/>
      <c r="F495" s="21"/>
      <c r="G495" s="21"/>
      <c r="H495" s="21"/>
    </row>
    <row r="498" spans="1:2" ht="13.5" thickBot="1">
      <c r="A498" s="154" t="s">
        <v>168</v>
      </c>
      <c r="B498" s="155"/>
    </row>
    <row r="499" spans="1:2" ht="12.75">
      <c r="A499" s="498" t="s">
        <v>160</v>
      </c>
      <c r="B499" s="156">
        <f>B501/B502</f>
        <v>12.011288124482974</v>
      </c>
    </row>
    <row r="500" spans="1:2" ht="12.75">
      <c r="A500" s="498" t="s">
        <v>161</v>
      </c>
      <c r="B500" s="158">
        <f>TDIST(B499,B490,2)</f>
        <v>7.621551309013842E-20</v>
      </c>
    </row>
    <row r="501" spans="1:2" ht="12.75">
      <c r="A501" s="498" t="s">
        <v>162</v>
      </c>
      <c r="B501" s="93">
        <f>B481</f>
        <v>0.8580894913430571</v>
      </c>
    </row>
    <row r="502" spans="1:2" ht="12.75">
      <c r="A502" s="498" t="s">
        <v>163</v>
      </c>
      <c r="B502" s="161">
        <f>B503*SQRT(1/B504+B505^2/B506)</f>
        <v>0.07144025540391352</v>
      </c>
    </row>
    <row r="503" spans="1:2" ht="12.75">
      <c r="A503" s="498" t="s">
        <v>164</v>
      </c>
      <c r="B503" s="93">
        <f>B493</f>
        <v>0.04741400401943993</v>
      </c>
    </row>
    <row r="504" spans="1:2" ht="12.75">
      <c r="A504" s="498" t="s">
        <v>165</v>
      </c>
      <c r="B504" s="157">
        <f>B474</f>
        <v>85</v>
      </c>
    </row>
    <row r="505" spans="1:2" ht="12.75">
      <c r="A505" s="498" t="s">
        <v>166</v>
      </c>
      <c r="B505" s="93">
        <f>C476</f>
        <v>1.6865882352941177</v>
      </c>
    </row>
    <row r="506" spans="1:2" ht="12.75">
      <c r="A506" s="499" t="s">
        <v>167</v>
      </c>
      <c r="B506" s="84">
        <f>C479</f>
        <v>1.2595105882354005</v>
      </c>
    </row>
    <row r="509" spans="1:2" ht="13.5" thickBot="1">
      <c r="A509" s="154" t="s">
        <v>172</v>
      </c>
      <c r="B509" s="159"/>
    </row>
    <row r="510" spans="1:2" ht="12.75">
      <c r="A510" s="498" t="s">
        <v>169</v>
      </c>
      <c r="B510" s="156">
        <f>B512-B514*B515</f>
        <v>0.7159976993214889</v>
      </c>
    </row>
    <row r="511" spans="1:2" ht="12.75">
      <c r="A511" s="498" t="s">
        <v>170</v>
      </c>
      <c r="B511" s="156">
        <f>B512+B514*B515</f>
        <v>1.0001812833646253</v>
      </c>
    </row>
    <row r="512" spans="1:2" ht="12.75">
      <c r="A512" s="498" t="s">
        <v>162</v>
      </c>
      <c r="B512" s="163">
        <f>B501</f>
        <v>0.8580894913430571</v>
      </c>
    </row>
    <row r="513" spans="1:2" ht="12.75">
      <c r="A513" s="498" t="s">
        <v>175</v>
      </c>
      <c r="B513" s="164">
        <v>0.05</v>
      </c>
    </row>
    <row r="514" spans="1:2" ht="12.75">
      <c r="A514" s="498" t="s">
        <v>171</v>
      </c>
      <c r="B514" s="152">
        <f>TINV(B513,B490)</f>
        <v>1.9889597429096586</v>
      </c>
    </row>
    <row r="515" spans="1:2" ht="12.75">
      <c r="A515" s="499" t="s">
        <v>173</v>
      </c>
      <c r="B515" s="165">
        <f>B502</f>
        <v>0.07144025540391352</v>
      </c>
    </row>
    <row r="518" spans="1:2" ht="13.5" thickBot="1">
      <c r="A518" s="162" t="s">
        <v>293</v>
      </c>
      <c r="B518" s="159"/>
    </row>
    <row r="519" spans="1:2" ht="12.75">
      <c r="A519" s="521" t="s">
        <v>160</v>
      </c>
      <c r="B519" s="156">
        <f>B521/B522</f>
        <v>11.562859664784131</v>
      </c>
    </row>
    <row r="520" spans="1:2" ht="12.75">
      <c r="A520" s="521" t="s">
        <v>161</v>
      </c>
      <c r="B520" s="166">
        <f>TDIST(B519,B490,2)</f>
        <v>5.577742727608233E-19</v>
      </c>
    </row>
    <row r="521" spans="1:2" ht="12.75">
      <c r="A521" s="521" t="s">
        <v>107</v>
      </c>
      <c r="B521" s="93">
        <f>B480</f>
        <v>0.48850720728125097</v>
      </c>
    </row>
    <row r="522" spans="1:2" ht="12.75">
      <c r="A522" s="521" t="s">
        <v>174</v>
      </c>
      <c r="B522" s="156">
        <f>B523/SQRT(B524)</f>
        <v>0.042247957810043264</v>
      </c>
    </row>
    <row r="523" spans="1:2" ht="12.75">
      <c r="A523" s="521" t="s">
        <v>164</v>
      </c>
      <c r="B523" s="93">
        <f>B493</f>
        <v>0.04741400401943993</v>
      </c>
    </row>
    <row r="524" spans="1:2" ht="12.75">
      <c r="A524" s="522" t="s">
        <v>167</v>
      </c>
      <c r="B524" s="84">
        <f>B506</f>
        <v>1.2595105882354005</v>
      </c>
    </row>
    <row r="526" ht="12.75">
      <c r="C526" s="99"/>
    </row>
    <row r="527" ht="12.75">
      <c r="C527" s="99"/>
    </row>
    <row r="528" ht="12.75">
      <c r="C528" s="99"/>
    </row>
    <row r="529" spans="1:2" ht="13.5" thickBot="1">
      <c r="A529" s="154" t="s">
        <v>294</v>
      </c>
      <c r="B529" s="155"/>
    </row>
    <row r="530" spans="1:2" ht="12.75">
      <c r="A530" s="160" t="s">
        <v>169</v>
      </c>
      <c r="B530" s="156">
        <f>B532-B534*B535</f>
        <v>0.3771260114966868</v>
      </c>
    </row>
    <row r="531" spans="1:2" ht="12.75">
      <c r="A531" s="160" t="s">
        <v>170</v>
      </c>
      <c r="B531" s="156">
        <f>B532+B534*B535</f>
        <v>0.5998884030658151</v>
      </c>
    </row>
    <row r="532" spans="1:2" ht="12.75">
      <c r="A532" s="498" t="s">
        <v>107</v>
      </c>
      <c r="B532" s="93">
        <f>B521</f>
        <v>0.48850720728125097</v>
      </c>
    </row>
    <row r="533" spans="1:2" ht="12.75">
      <c r="A533" s="498" t="s">
        <v>175</v>
      </c>
      <c r="B533" s="167">
        <v>0.01</v>
      </c>
    </row>
    <row r="534" spans="1:2" ht="12.75">
      <c r="A534" s="498" t="s">
        <v>176</v>
      </c>
      <c r="B534" s="85">
        <f>TINV(B533,B490)</f>
        <v>2.6363687514875904</v>
      </c>
    </row>
    <row r="535" spans="1:2" ht="12.75">
      <c r="A535" s="499" t="s">
        <v>177</v>
      </c>
      <c r="B535" s="84">
        <f>B522</f>
        <v>0.042247957810043264</v>
      </c>
    </row>
    <row r="538" ht="12.75">
      <c r="A538" s="1" t="s">
        <v>189</v>
      </c>
    </row>
    <row r="539" ht="12.75">
      <c r="A539" s="64" t="s">
        <v>295</v>
      </c>
    </row>
    <row r="540" spans="1:2" ht="12.75">
      <c r="A540" s="489" t="s">
        <v>178</v>
      </c>
      <c r="B540" s="169">
        <f>B474</f>
        <v>85</v>
      </c>
    </row>
    <row r="541" spans="1:2" ht="12.75">
      <c r="A541" s="498" t="s">
        <v>179</v>
      </c>
      <c r="B541" s="170">
        <f>MIN($B$385:$B$469)</f>
        <v>1.45</v>
      </c>
    </row>
    <row r="542" spans="1:2" ht="12.75">
      <c r="A542" s="498" t="s">
        <v>180</v>
      </c>
      <c r="B542" s="170">
        <f>MAX($B$385:$B$469)</f>
        <v>1.88</v>
      </c>
    </row>
    <row r="543" spans="1:2" ht="12.75">
      <c r="A543" s="498" t="s">
        <v>181</v>
      </c>
      <c r="B543" s="170">
        <f>B542-B541</f>
        <v>0.42999999999999994</v>
      </c>
    </row>
    <row r="544" spans="1:2" ht="12.75">
      <c r="A544" s="498" t="s">
        <v>182</v>
      </c>
      <c r="B544" s="171">
        <v>0.05</v>
      </c>
    </row>
    <row r="545" spans="1:2" ht="12.75">
      <c r="A545" s="498" t="s">
        <v>183</v>
      </c>
      <c r="B545" s="146">
        <f>B481</f>
        <v>0.8580894913430571</v>
      </c>
    </row>
    <row r="546" spans="1:2" ht="12.75">
      <c r="A546" s="498" t="s">
        <v>184</v>
      </c>
      <c r="B546" s="146">
        <f>B480</f>
        <v>0.48850720728125097</v>
      </c>
    </row>
    <row r="547" spans="1:2" ht="12.75">
      <c r="A547" s="498" t="s">
        <v>185</v>
      </c>
      <c r="B547" s="172">
        <v>0.05</v>
      </c>
    </row>
    <row r="548" spans="1:2" ht="12.75">
      <c r="A548" s="498" t="s">
        <v>186</v>
      </c>
      <c r="B548" s="146">
        <f>TINV(B547,B540-2)</f>
        <v>1.9889597429096586</v>
      </c>
    </row>
    <row r="549" spans="1:4" ht="12.75">
      <c r="A549" s="498" t="s">
        <v>164</v>
      </c>
      <c r="B549" s="146">
        <f>B493</f>
        <v>0.04741400401943993</v>
      </c>
      <c r="D549" s="99"/>
    </row>
    <row r="550" spans="1:2" ht="12.75">
      <c r="A550" s="530" t="s">
        <v>187</v>
      </c>
      <c r="B550" s="146">
        <f>C476</f>
        <v>1.6865882352941177</v>
      </c>
    </row>
    <row r="551" spans="1:4" ht="12.75">
      <c r="A551" s="531" t="s">
        <v>188</v>
      </c>
      <c r="B551" s="173">
        <f>C479</f>
        <v>1.2595105882354005</v>
      </c>
      <c r="C551" s="99"/>
      <c r="D551" s="20"/>
    </row>
    <row r="554" ht="12.75">
      <c r="A554" s="174" t="s">
        <v>296</v>
      </c>
    </row>
    <row r="555" spans="1:7" s="182" customFormat="1" ht="13.5" thickBot="1">
      <c r="A555" s="180" t="s">
        <v>9</v>
      </c>
      <c r="B555" s="179" t="s">
        <v>190</v>
      </c>
      <c r="C555" s="178" t="s">
        <v>191</v>
      </c>
      <c r="D555" s="179" t="s">
        <v>192</v>
      </c>
      <c r="E555" s="178" t="s">
        <v>193</v>
      </c>
      <c r="F555" s="179" t="s">
        <v>194</v>
      </c>
      <c r="G555" s="181" t="s">
        <v>195</v>
      </c>
    </row>
    <row r="556" spans="1:7" ht="13.5" thickTop="1">
      <c r="A556" s="496">
        <v>1</v>
      </c>
      <c r="B556" s="70">
        <f>B541</f>
        <v>1.45</v>
      </c>
      <c r="C556" s="281">
        <f>INT(($E556-$B$548*$B$549*SQRT(1+1/$B$540+($B556-$B$550)^2/$B$551))*100)/100</f>
        <v>1.46</v>
      </c>
      <c r="D556" s="280">
        <f>$E556-$B$548*$B$549*SQRT(1/$B$540+($B556-$B$550)^2/$B$551)</f>
        <v>1.5440674499504263</v>
      </c>
      <c r="E556" s="283">
        <f>$B$545+$B$546*B556</f>
        <v>1.5664249419008711</v>
      </c>
      <c r="F556" s="280">
        <f>$E556+$B$548*$B$549*SQRT(1/$B$540+($B556-$B$550)^2/$B$551)</f>
        <v>1.588782433851316</v>
      </c>
      <c r="G556" s="282">
        <f>$E556+$B$548*$B$549*SQRT(1+1/$B$540+($B556-$B$550)^2/$B$551)</f>
        <v>1.6633434886303131</v>
      </c>
    </row>
    <row r="557" spans="1:7" ht="12.75">
      <c r="A557" s="496">
        <v>2</v>
      </c>
      <c r="B557" s="70">
        <f>B556+$B$544</f>
        <v>1.5</v>
      </c>
      <c r="C557" s="281">
        <f aca="true" t="shared" si="12" ref="C557:C567">INT(($E557-$B$548*$B$549*SQRT(1+1/$B$540+($B557-$B$550)^2/$B$551))*100)/100</f>
        <v>1.49</v>
      </c>
      <c r="D557" s="280">
        <f aca="true" t="shared" si="13" ref="D557:D567">$E557-$B$548*$B$549*SQRT(1/$B$540+($B557-$B$550)^2/$B$551)</f>
        <v>1.5721298334916163</v>
      </c>
      <c r="E557" s="283">
        <f aca="true" t="shared" si="14" ref="E557:E567">$B$545+$B$546*B557</f>
        <v>1.5908503022649336</v>
      </c>
      <c r="F557" s="280">
        <f aca="true" t="shared" si="15" ref="F557:F567">$E557+$B$548*$B$549*SQRT(1/$B$540+($B557-$B$550)^2/$B$551)</f>
        <v>1.609570771038251</v>
      </c>
      <c r="G557" s="282">
        <f aca="true" t="shared" si="16" ref="G557:G567">$E557+$B$548*$B$549*SQRT(1+1/$B$540+($B557-$B$550)^2/$B$551)</f>
        <v>1.6869950015724127</v>
      </c>
    </row>
    <row r="558" spans="1:7" ht="12.75">
      <c r="A558" s="496">
        <v>3</v>
      </c>
      <c r="B558" s="70">
        <f aca="true" t="shared" si="17" ref="B558:B567">B557+$B$544</f>
        <v>1.55</v>
      </c>
      <c r="C558" s="281">
        <f t="shared" si="12"/>
        <v>1.51</v>
      </c>
      <c r="D558" s="280">
        <f t="shared" si="13"/>
        <v>1.5999016836529982</v>
      </c>
      <c r="E558" s="283">
        <f t="shared" si="14"/>
        <v>1.6152756626289961</v>
      </c>
      <c r="F558" s="280">
        <f t="shared" si="15"/>
        <v>1.630649641604994</v>
      </c>
      <c r="G558" s="282">
        <f t="shared" si="16"/>
        <v>1.7108251601859548</v>
      </c>
    </row>
    <row r="559" spans="1:7" ht="12.75">
      <c r="A559" s="496">
        <v>4</v>
      </c>
      <c r="B559" s="70">
        <f t="shared" si="17"/>
        <v>1.6</v>
      </c>
      <c r="C559" s="281">
        <f t="shared" si="12"/>
        <v>1.54</v>
      </c>
      <c r="D559" s="280">
        <f t="shared" si="13"/>
        <v>1.6271484423142006</v>
      </c>
      <c r="E559" s="283">
        <f t="shared" si="14"/>
        <v>1.6397010229930586</v>
      </c>
      <c r="F559" s="280">
        <f t="shared" si="15"/>
        <v>1.6522536036719166</v>
      </c>
      <c r="G559" s="282">
        <f t="shared" si="16"/>
        <v>1.734837317515875</v>
      </c>
    </row>
    <row r="560" spans="1:7" ht="12.75">
      <c r="A560" s="496">
        <v>5</v>
      </c>
      <c r="B560" s="70">
        <f t="shared" si="17"/>
        <v>1.6500000000000001</v>
      </c>
      <c r="C560" s="281">
        <f t="shared" si="12"/>
        <v>1.56</v>
      </c>
      <c r="D560" s="280">
        <f t="shared" si="13"/>
        <v>1.6534455543852113</v>
      </c>
      <c r="E560" s="283">
        <f t="shared" si="14"/>
        <v>1.6641263833571212</v>
      </c>
      <c r="F560" s="280">
        <f t="shared" si="15"/>
        <v>1.674807212329031</v>
      </c>
      <c r="G560" s="282">
        <f t="shared" si="16"/>
        <v>1.7590338507206538</v>
      </c>
    </row>
    <row r="561" spans="1:7" ht="12.75">
      <c r="A561" s="496">
        <v>6</v>
      </c>
      <c r="B561" s="70">
        <f t="shared" si="17"/>
        <v>1.7000000000000002</v>
      </c>
      <c r="C561" s="281">
        <f t="shared" si="12"/>
        <v>1.59</v>
      </c>
      <c r="D561" s="280">
        <f t="shared" si="13"/>
        <v>1.6782610825646658</v>
      </c>
      <c r="E561" s="283">
        <f t="shared" si="14"/>
        <v>1.6885517437211839</v>
      </c>
      <c r="F561" s="280">
        <f t="shared" si="15"/>
        <v>1.698842404877702</v>
      </c>
      <c r="G561" s="282">
        <f t="shared" si="16"/>
        <v>1.783416094037154</v>
      </c>
    </row>
    <row r="562" spans="1:7" ht="12.75">
      <c r="A562" s="496">
        <v>7</v>
      </c>
      <c r="B562" s="70">
        <f t="shared" si="17"/>
        <v>1.7500000000000002</v>
      </c>
      <c r="C562" s="281">
        <f t="shared" si="12"/>
        <v>1.61</v>
      </c>
      <c r="D562" s="280">
        <f t="shared" si="13"/>
        <v>1.701443670934944</v>
      </c>
      <c r="E562" s="283">
        <f t="shared" si="14"/>
        <v>1.7129771040852464</v>
      </c>
      <c r="F562" s="280">
        <f t="shared" si="15"/>
        <v>1.7245105372355487</v>
      </c>
      <c r="G562" s="282">
        <f t="shared" si="16"/>
        <v>1.8079843003077711</v>
      </c>
    </row>
    <row r="563" spans="1:7" ht="12.75">
      <c r="A563" s="496">
        <v>8</v>
      </c>
      <c r="B563" s="70">
        <f t="shared" si="17"/>
        <v>1.8000000000000003</v>
      </c>
      <c r="C563" s="281">
        <f t="shared" si="12"/>
        <v>1.64</v>
      </c>
      <c r="D563" s="280">
        <f t="shared" si="13"/>
        <v>1.7234222202772695</v>
      </c>
      <c r="E563" s="283">
        <f t="shared" si="14"/>
        <v>1.7374024644493091</v>
      </c>
      <c r="F563" s="280">
        <f t="shared" si="15"/>
        <v>1.7513827086213487</v>
      </c>
      <c r="G563" s="282">
        <f t="shared" si="16"/>
        <v>1.832737633620726</v>
      </c>
    </row>
    <row r="564" spans="1:7" ht="12.75">
      <c r="A564" s="496">
        <v>9</v>
      </c>
      <c r="B564" s="70">
        <f t="shared" si="17"/>
        <v>1.8500000000000003</v>
      </c>
      <c r="C564" s="281">
        <f t="shared" si="12"/>
        <v>1.66</v>
      </c>
      <c r="D564" s="280">
        <f t="shared" si="13"/>
        <v>1.7447053498850693</v>
      </c>
      <c r="E564" s="283">
        <f t="shared" si="14"/>
        <v>1.7618278248133716</v>
      </c>
      <c r="F564" s="280">
        <f t="shared" si="15"/>
        <v>1.778950299741674</v>
      </c>
      <c r="G564" s="282">
        <f t="shared" si="16"/>
        <v>1.8576741935578533</v>
      </c>
    </row>
    <row r="565" spans="1:7" ht="12.75">
      <c r="A565" s="496">
        <v>10</v>
      </c>
      <c r="B565" s="70">
        <f t="shared" si="17"/>
        <v>1.9000000000000004</v>
      </c>
      <c r="C565" s="281">
        <f t="shared" si="12"/>
        <v>1.68</v>
      </c>
      <c r="D565" s="280">
        <f t="shared" si="13"/>
        <v>1.765608189611584</v>
      </c>
      <c r="E565" s="283">
        <f t="shared" si="14"/>
        <v>1.7862531851774341</v>
      </c>
      <c r="F565" s="280">
        <f t="shared" si="15"/>
        <v>1.8068981807432842</v>
      </c>
      <c r="G565" s="282">
        <f t="shared" si="16"/>
        <v>1.8827910694288863</v>
      </c>
    </row>
    <row r="566" spans="1:7" ht="12.75">
      <c r="A566" s="496">
        <v>11</v>
      </c>
      <c r="B566" s="70">
        <f t="shared" si="17"/>
        <v>1.9500000000000004</v>
      </c>
      <c r="C566" s="281">
        <f t="shared" si="12"/>
        <v>1.71</v>
      </c>
      <c r="D566" s="280">
        <f t="shared" si="13"/>
        <v>1.7862949996582431</v>
      </c>
      <c r="E566" s="283">
        <f t="shared" si="14"/>
        <v>1.8106785455414967</v>
      </c>
      <c r="F566" s="280">
        <f t="shared" si="15"/>
        <v>1.8350620914247502</v>
      </c>
      <c r="G566" s="282">
        <f t="shared" si="16"/>
        <v>1.908084420947827</v>
      </c>
    </row>
    <row r="567" spans="1:7" ht="12.75">
      <c r="A567" s="497">
        <v>12</v>
      </c>
      <c r="B567" s="177">
        <f t="shared" si="17"/>
        <v>2.0000000000000004</v>
      </c>
      <c r="C567" s="281">
        <f t="shared" si="12"/>
        <v>1.73</v>
      </c>
      <c r="D567" s="280">
        <f t="shared" si="13"/>
        <v>1.8068514095300061</v>
      </c>
      <c r="E567" s="283">
        <f t="shared" si="14"/>
        <v>1.8351039059055592</v>
      </c>
      <c r="F567" s="280">
        <f t="shared" si="15"/>
        <v>1.8633564022811122</v>
      </c>
      <c r="G567" s="282">
        <f t="shared" si="16"/>
        <v>1.9335495802914024</v>
      </c>
    </row>
    <row r="589" ht="12.75">
      <c r="B589" s="64" t="s">
        <v>297</v>
      </c>
    </row>
    <row r="591" ht="12.75">
      <c r="A591" s="1" t="s">
        <v>298</v>
      </c>
    </row>
    <row r="593" spans="1:5" ht="12.75">
      <c r="A593" s="523"/>
      <c r="B593" s="625" t="s">
        <v>10</v>
      </c>
      <c r="C593" s="626"/>
      <c r="D593" s="625" t="s">
        <v>11</v>
      </c>
      <c r="E593" s="626"/>
    </row>
    <row r="594" spans="1:5" ht="13.5" thickBot="1">
      <c r="A594" s="495" t="s">
        <v>9</v>
      </c>
      <c r="B594" s="493" t="s">
        <v>22</v>
      </c>
      <c r="C594" s="493" t="s">
        <v>23</v>
      </c>
      <c r="D594" s="494" t="s">
        <v>24</v>
      </c>
      <c r="E594" s="494" t="s">
        <v>25</v>
      </c>
    </row>
    <row r="595" spans="1:5" ht="13.5" thickTop="1">
      <c r="A595" s="496">
        <v>1</v>
      </c>
      <c r="B595" s="18">
        <v>1.54</v>
      </c>
      <c r="C595" s="19">
        <v>84.7</v>
      </c>
      <c r="D595" s="19">
        <v>1.61</v>
      </c>
      <c r="E595" s="19">
        <v>54.4</v>
      </c>
    </row>
    <row r="596" spans="1:5" ht="12.75">
      <c r="A596" s="496">
        <v>2</v>
      </c>
      <c r="B596" s="18">
        <v>1.87</v>
      </c>
      <c r="C596" s="19">
        <v>76.2</v>
      </c>
      <c r="D596" s="19">
        <v>1.87</v>
      </c>
      <c r="E596" s="19">
        <v>97.2</v>
      </c>
    </row>
    <row r="597" spans="1:5" ht="12.75">
      <c r="A597" s="496">
        <v>3</v>
      </c>
      <c r="B597" s="18">
        <v>1.53</v>
      </c>
      <c r="C597" s="19">
        <v>47.2</v>
      </c>
      <c r="D597" s="19">
        <v>1.62</v>
      </c>
      <c r="E597" s="19">
        <v>60</v>
      </c>
    </row>
    <row r="598" spans="1:5" ht="12.75">
      <c r="A598" s="496">
        <v>4</v>
      </c>
      <c r="B598" s="18">
        <v>1.69</v>
      </c>
      <c r="C598" s="19">
        <v>84.7</v>
      </c>
      <c r="D598" s="19">
        <v>1.58</v>
      </c>
      <c r="E598" s="19">
        <v>56.8</v>
      </c>
    </row>
    <row r="599" spans="1:5" ht="12.75">
      <c r="A599" s="496">
        <v>5</v>
      </c>
      <c r="B599" s="18">
        <v>1.56</v>
      </c>
      <c r="C599" s="19">
        <v>70.8</v>
      </c>
      <c r="D599" s="19">
        <v>1.68</v>
      </c>
      <c r="E599" s="19">
        <v>82.1</v>
      </c>
    </row>
    <row r="600" spans="1:5" ht="12.75">
      <c r="A600" s="496">
        <v>6</v>
      </c>
      <c r="B600" s="18">
        <v>1.85</v>
      </c>
      <c r="C600" s="19">
        <v>65.2</v>
      </c>
      <c r="D600" s="19">
        <v>1.78</v>
      </c>
      <c r="E600" s="19">
        <v>73.5</v>
      </c>
    </row>
    <row r="601" spans="1:5" ht="12.75">
      <c r="A601" s="496">
        <v>7</v>
      </c>
      <c r="B601" s="18">
        <v>1.84</v>
      </c>
      <c r="C601" s="19">
        <v>62.6</v>
      </c>
      <c r="D601" s="19">
        <v>1.83</v>
      </c>
      <c r="E601" s="19">
        <v>90.1</v>
      </c>
    </row>
    <row r="602" spans="1:5" ht="12.75">
      <c r="A602" s="496">
        <v>8</v>
      </c>
      <c r="B602" s="18">
        <v>1.53</v>
      </c>
      <c r="C602" s="19">
        <v>62.2</v>
      </c>
      <c r="D602" s="19">
        <v>1.57</v>
      </c>
      <c r="E602" s="19">
        <v>52.3</v>
      </c>
    </row>
    <row r="603" spans="1:5" ht="12.75">
      <c r="A603" s="496">
        <v>9</v>
      </c>
      <c r="B603" s="18">
        <v>1.79</v>
      </c>
      <c r="C603" s="19">
        <v>91</v>
      </c>
      <c r="D603" s="19">
        <v>1.67</v>
      </c>
      <c r="E603" s="19">
        <v>82.6</v>
      </c>
    </row>
    <row r="604" spans="1:5" ht="12.75">
      <c r="A604" s="496">
        <v>10</v>
      </c>
      <c r="B604" s="18">
        <v>1.73</v>
      </c>
      <c r="C604" s="19">
        <v>76.8</v>
      </c>
      <c r="D604" s="19">
        <v>1.71</v>
      </c>
      <c r="E604" s="19">
        <v>86.7</v>
      </c>
    </row>
    <row r="605" spans="1:5" ht="12.75">
      <c r="A605" s="496">
        <v>11</v>
      </c>
      <c r="B605" s="18">
        <v>1.82</v>
      </c>
      <c r="C605" s="19">
        <v>77.6</v>
      </c>
      <c r="D605" s="19">
        <v>1.76</v>
      </c>
      <c r="E605" s="19">
        <v>91.4</v>
      </c>
    </row>
    <row r="606" spans="1:5" ht="12.75">
      <c r="A606" s="496">
        <v>12</v>
      </c>
      <c r="B606" s="18">
        <v>1.62</v>
      </c>
      <c r="C606" s="19">
        <v>61</v>
      </c>
      <c r="D606" s="19">
        <v>1.66</v>
      </c>
      <c r="E606" s="19">
        <v>69.1</v>
      </c>
    </row>
    <row r="607" spans="1:5" ht="12.75">
      <c r="A607" s="496">
        <v>13</v>
      </c>
      <c r="B607" s="18">
        <v>1.67</v>
      </c>
      <c r="C607" s="19">
        <v>86.6</v>
      </c>
      <c r="D607" s="19">
        <v>1.74</v>
      </c>
      <c r="E607" s="19">
        <v>86.3</v>
      </c>
    </row>
    <row r="608" spans="1:5" ht="12.75">
      <c r="A608" s="496">
        <v>14</v>
      </c>
      <c r="B608" s="18">
        <v>1.77</v>
      </c>
      <c r="C608" s="19">
        <v>92.9</v>
      </c>
      <c r="D608" s="19">
        <v>1.66</v>
      </c>
      <c r="E608" s="19">
        <v>60.1</v>
      </c>
    </row>
    <row r="609" spans="1:5" ht="12.75">
      <c r="A609" s="496">
        <v>15</v>
      </c>
      <c r="B609" s="18">
        <v>1.88</v>
      </c>
      <c r="C609" s="19">
        <v>64.8</v>
      </c>
      <c r="D609" s="19">
        <v>1.77</v>
      </c>
      <c r="E609" s="19">
        <v>72.9</v>
      </c>
    </row>
    <row r="610" spans="1:5" ht="12.75">
      <c r="A610" s="496">
        <v>16</v>
      </c>
      <c r="B610" s="18">
        <v>1.63</v>
      </c>
      <c r="C610" s="19">
        <v>81.5</v>
      </c>
      <c r="D610" s="19">
        <v>1.64</v>
      </c>
      <c r="E610" s="19">
        <v>62</v>
      </c>
    </row>
    <row r="611" spans="1:5" ht="12.75">
      <c r="A611" s="496">
        <v>17</v>
      </c>
      <c r="B611" s="18">
        <v>1.77</v>
      </c>
      <c r="C611" s="19">
        <v>94.9</v>
      </c>
      <c r="D611" s="19">
        <v>1.66</v>
      </c>
      <c r="E611" s="19">
        <v>80.1</v>
      </c>
    </row>
    <row r="612" spans="1:5" ht="12.75">
      <c r="A612" s="496">
        <v>18</v>
      </c>
      <c r="B612" s="18">
        <v>1.79</v>
      </c>
      <c r="C612" s="19">
        <v>81</v>
      </c>
      <c r="D612" s="19">
        <v>1.76</v>
      </c>
      <c r="E612" s="19">
        <v>67.4</v>
      </c>
    </row>
    <row r="613" spans="1:5" ht="12.75">
      <c r="A613" s="496">
        <v>19</v>
      </c>
      <c r="B613" s="18">
        <v>1.62</v>
      </c>
      <c r="C613" s="19">
        <v>77</v>
      </c>
      <c r="D613" s="19">
        <v>1.68</v>
      </c>
      <c r="E613" s="19">
        <v>56.1</v>
      </c>
    </row>
    <row r="614" spans="1:5" ht="12.75">
      <c r="A614" s="496">
        <v>20</v>
      </c>
      <c r="B614" s="18">
        <v>1.8</v>
      </c>
      <c r="C614" s="19">
        <v>94.5</v>
      </c>
      <c r="D614" s="19">
        <v>1.75</v>
      </c>
      <c r="E614" s="19">
        <v>87.9</v>
      </c>
    </row>
    <row r="615" spans="1:5" ht="12.75">
      <c r="A615" s="496">
        <v>21</v>
      </c>
      <c r="B615" s="18">
        <v>1.46</v>
      </c>
      <c r="C615" s="19">
        <v>70.5</v>
      </c>
      <c r="D615" s="19">
        <v>1.57</v>
      </c>
      <c r="E615" s="19">
        <v>60.3</v>
      </c>
    </row>
    <row r="616" spans="1:5" ht="12.75">
      <c r="A616" s="496">
        <v>22</v>
      </c>
      <c r="B616" s="18">
        <v>1.47</v>
      </c>
      <c r="C616" s="19">
        <v>79</v>
      </c>
      <c r="D616" s="19">
        <v>1.55</v>
      </c>
      <c r="E616" s="19">
        <v>49.2</v>
      </c>
    </row>
    <row r="617" spans="1:5" ht="12.75">
      <c r="A617" s="496">
        <v>23</v>
      </c>
      <c r="B617" s="18">
        <v>1.66</v>
      </c>
      <c r="C617" s="19">
        <v>58.1</v>
      </c>
      <c r="D617" s="19">
        <v>1.74</v>
      </c>
      <c r="E617" s="19">
        <v>67.3</v>
      </c>
    </row>
    <row r="618" spans="1:5" ht="12.75">
      <c r="A618" s="496">
        <v>24</v>
      </c>
      <c r="B618" s="18">
        <v>1.65</v>
      </c>
      <c r="C618" s="19">
        <v>61.6</v>
      </c>
      <c r="D618" s="19">
        <v>1.72</v>
      </c>
      <c r="E618" s="19">
        <v>92.3</v>
      </c>
    </row>
    <row r="619" spans="1:5" ht="12.75">
      <c r="A619" s="496">
        <v>25</v>
      </c>
      <c r="B619" s="18">
        <v>1.63</v>
      </c>
      <c r="C619" s="19">
        <v>74.5</v>
      </c>
      <c r="D619" s="19">
        <v>1.72</v>
      </c>
      <c r="E619" s="19">
        <v>56.3</v>
      </c>
    </row>
    <row r="620" spans="1:5" ht="12.75">
      <c r="A620" s="496">
        <v>26</v>
      </c>
      <c r="B620" s="18">
        <v>1.84</v>
      </c>
      <c r="C620" s="19">
        <v>74.6</v>
      </c>
      <c r="D620" s="19">
        <v>1.76</v>
      </c>
      <c r="E620" s="19">
        <v>93.4</v>
      </c>
    </row>
    <row r="621" spans="1:5" ht="12.75">
      <c r="A621" s="496">
        <v>27</v>
      </c>
      <c r="B621" s="18">
        <v>1.73</v>
      </c>
      <c r="C621" s="19">
        <v>78.8</v>
      </c>
      <c r="D621" s="19">
        <v>1.67</v>
      </c>
      <c r="E621" s="19">
        <v>72.6</v>
      </c>
    </row>
    <row r="622" spans="1:5" ht="12.75">
      <c r="A622" s="496">
        <v>28</v>
      </c>
      <c r="B622" s="18">
        <v>1.6</v>
      </c>
      <c r="C622" s="19">
        <v>67.9</v>
      </c>
      <c r="D622" s="19">
        <v>1.7</v>
      </c>
      <c r="E622" s="19">
        <v>61.2</v>
      </c>
    </row>
    <row r="623" spans="1:5" ht="12.75">
      <c r="A623" s="496">
        <v>29</v>
      </c>
      <c r="B623" s="18">
        <v>1.46</v>
      </c>
      <c r="C623" s="19">
        <v>51.5</v>
      </c>
      <c r="D623" s="19">
        <v>1.62</v>
      </c>
      <c r="E623" s="19">
        <v>85</v>
      </c>
    </row>
    <row r="624" spans="1:5" ht="12.75">
      <c r="A624" s="496">
        <v>30</v>
      </c>
      <c r="B624" s="18">
        <v>1.75</v>
      </c>
      <c r="C624" s="19">
        <v>67.9</v>
      </c>
      <c r="D624" s="19">
        <v>1.67</v>
      </c>
      <c r="E624" s="19">
        <v>59.6</v>
      </c>
    </row>
    <row r="625" spans="1:5" ht="12.75">
      <c r="A625" s="496">
        <v>31</v>
      </c>
      <c r="B625" s="18">
        <v>1.62</v>
      </c>
      <c r="C625" s="19">
        <v>79</v>
      </c>
      <c r="D625" s="19">
        <v>1.66</v>
      </c>
      <c r="E625" s="19">
        <v>75.1</v>
      </c>
    </row>
    <row r="626" spans="1:5" ht="12.75">
      <c r="A626" s="496">
        <v>32</v>
      </c>
      <c r="B626" s="18">
        <v>1.78</v>
      </c>
      <c r="C626" s="19">
        <v>61.5</v>
      </c>
      <c r="D626" s="19">
        <v>1.66</v>
      </c>
      <c r="E626" s="19">
        <v>80.1</v>
      </c>
    </row>
    <row r="627" spans="1:5" ht="12.75">
      <c r="A627" s="496">
        <v>33</v>
      </c>
      <c r="B627" s="18">
        <v>1.57</v>
      </c>
      <c r="C627" s="19">
        <v>58.3</v>
      </c>
      <c r="D627" s="19">
        <v>1.6</v>
      </c>
      <c r="E627" s="19">
        <v>77.9</v>
      </c>
    </row>
    <row r="628" spans="1:5" ht="12.75">
      <c r="A628" s="496">
        <v>34</v>
      </c>
      <c r="B628" s="18">
        <v>1.77</v>
      </c>
      <c r="C628" s="19">
        <v>65.9</v>
      </c>
      <c r="D628" s="19">
        <v>1.77</v>
      </c>
      <c r="E628" s="19">
        <v>67.9</v>
      </c>
    </row>
    <row r="629" spans="1:5" ht="12.75">
      <c r="A629" s="496">
        <v>35</v>
      </c>
      <c r="B629" s="18">
        <v>1.71</v>
      </c>
      <c r="C629" s="19">
        <v>92.7</v>
      </c>
      <c r="D629" s="19">
        <v>1.62</v>
      </c>
      <c r="E629" s="19">
        <v>88</v>
      </c>
    </row>
    <row r="630" spans="1:5" ht="12.75">
      <c r="A630" s="496">
        <v>36</v>
      </c>
      <c r="B630" s="18">
        <v>1.77</v>
      </c>
      <c r="C630" s="19">
        <v>87.9</v>
      </c>
      <c r="D630" s="19">
        <v>1.71</v>
      </c>
      <c r="E630" s="19">
        <v>76.7</v>
      </c>
    </row>
    <row r="631" spans="1:5" ht="12.75">
      <c r="A631" s="496">
        <v>37</v>
      </c>
      <c r="B631" s="18">
        <v>1.83</v>
      </c>
      <c r="C631" s="19">
        <v>74.1</v>
      </c>
      <c r="D631" s="19">
        <v>1.74</v>
      </c>
      <c r="E631" s="19">
        <v>91.3</v>
      </c>
    </row>
    <row r="632" spans="1:5" ht="12.75">
      <c r="A632" s="496">
        <v>38</v>
      </c>
      <c r="B632" s="18">
        <v>1.64</v>
      </c>
      <c r="C632" s="19">
        <v>69</v>
      </c>
      <c r="D632" s="19">
        <v>1.67</v>
      </c>
      <c r="E632" s="19">
        <v>92.6</v>
      </c>
    </row>
    <row r="633" spans="1:5" ht="12.75">
      <c r="A633" s="496">
        <v>39</v>
      </c>
      <c r="B633" s="18">
        <v>1.61</v>
      </c>
      <c r="C633" s="19">
        <v>85.4</v>
      </c>
      <c r="D633" s="19">
        <v>1.72</v>
      </c>
      <c r="E633" s="19">
        <v>60.3</v>
      </c>
    </row>
    <row r="634" spans="1:5" ht="12.75">
      <c r="A634" s="496">
        <v>40</v>
      </c>
      <c r="B634" s="18">
        <v>1.58</v>
      </c>
      <c r="C634" s="19">
        <v>71.8</v>
      </c>
      <c r="D634" s="19">
        <v>1.71</v>
      </c>
      <c r="E634" s="19">
        <v>73.7</v>
      </c>
    </row>
    <row r="635" spans="1:5" ht="12.75">
      <c r="A635" s="496">
        <v>41</v>
      </c>
      <c r="B635" s="18">
        <v>1.75</v>
      </c>
      <c r="C635" s="19">
        <v>64.9</v>
      </c>
      <c r="D635" s="19">
        <v>1.71</v>
      </c>
      <c r="E635" s="19">
        <v>58.7</v>
      </c>
    </row>
    <row r="636" spans="1:5" ht="12.75">
      <c r="A636" s="496">
        <v>42</v>
      </c>
      <c r="B636" s="18">
        <v>1.88</v>
      </c>
      <c r="C636" s="19">
        <v>80.8</v>
      </c>
      <c r="D636" s="19">
        <v>1.78</v>
      </c>
      <c r="E636" s="19">
        <v>87.5</v>
      </c>
    </row>
    <row r="637" spans="1:5" ht="12.75">
      <c r="A637" s="496">
        <v>43</v>
      </c>
      <c r="B637" s="18">
        <v>1.65</v>
      </c>
      <c r="C637" s="19">
        <v>58.6</v>
      </c>
      <c r="D637" s="19">
        <v>1.68</v>
      </c>
      <c r="E637" s="19">
        <v>76.1</v>
      </c>
    </row>
    <row r="638" spans="1:5" ht="12.75">
      <c r="A638" s="496">
        <v>44</v>
      </c>
      <c r="B638" s="18">
        <v>1.49</v>
      </c>
      <c r="C638" s="19">
        <v>64.1</v>
      </c>
      <c r="D638" s="19">
        <v>1.57</v>
      </c>
      <c r="E638" s="19">
        <v>58.3</v>
      </c>
    </row>
    <row r="639" spans="1:5" ht="12.75">
      <c r="A639" s="496">
        <v>45</v>
      </c>
      <c r="B639" s="18">
        <v>1.69</v>
      </c>
      <c r="C639" s="19">
        <v>54.7</v>
      </c>
      <c r="D639" s="19">
        <v>1.58</v>
      </c>
      <c r="E639" s="19">
        <v>61.8</v>
      </c>
    </row>
    <row r="640" spans="1:5" ht="12.75">
      <c r="A640" s="496">
        <v>46</v>
      </c>
      <c r="B640" s="18">
        <v>1.72</v>
      </c>
      <c r="C640" s="19">
        <v>59.3</v>
      </c>
      <c r="D640" s="19">
        <v>1.6</v>
      </c>
      <c r="E640" s="19">
        <v>67.9</v>
      </c>
    </row>
    <row r="641" spans="1:5" ht="12.75">
      <c r="A641" s="496">
        <v>47</v>
      </c>
      <c r="B641" s="18">
        <v>1.46</v>
      </c>
      <c r="C641" s="19">
        <v>80.5</v>
      </c>
      <c r="D641" s="19">
        <v>1.53</v>
      </c>
      <c r="E641" s="19">
        <v>58.2</v>
      </c>
    </row>
    <row r="642" spans="1:5" ht="12.75">
      <c r="A642" s="496">
        <v>48</v>
      </c>
      <c r="B642" s="18">
        <v>1.49</v>
      </c>
      <c r="C642" s="19">
        <v>65.1</v>
      </c>
      <c r="D642" s="19">
        <v>1.57</v>
      </c>
      <c r="E642" s="19">
        <v>68.3</v>
      </c>
    </row>
    <row r="643" spans="1:5" ht="12.75">
      <c r="A643" s="496">
        <v>49</v>
      </c>
      <c r="B643" s="18">
        <v>1.49</v>
      </c>
      <c r="C643" s="19">
        <v>69.1</v>
      </c>
      <c r="D643" s="19">
        <v>1.55</v>
      </c>
      <c r="E643" s="19">
        <v>83.2</v>
      </c>
    </row>
    <row r="644" spans="1:5" ht="12.75">
      <c r="A644" s="496">
        <v>50</v>
      </c>
      <c r="B644" s="18">
        <v>1.71</v>
      </c>
      <c r="C644" s="19">
        <v>58.7</v>
      </c>
      <c r="D644" s="19">
        <v>1.7</v>
      </c>
      <c r="E644" s="19">
        <v>78.2</v>
      </c>
    </row>
    <row r="645" spans="1:5" ht="12.75">
      <c r="A645" s="496">
        <v>51</v>
      </c>
      <c r="B645" s="18">
        <v>1.47</v>
      </c>
      <c r="C645" s="19">
        <v>57</v>
      </c>
      <c r="D645" s="19">
        <v>1.59</v>
      </c>
      <c r="E645" s="19">
        <v>58.4</v>
      </c>
    </row>
    <row r="646" spans="1:5" ht="12.75">
      <c r="A646" s="496">
        <v>52</v>
      </c>
      <c r="B646" s="18">
        <v>1.89</v>
      </c>
      <c r="C646" s="19">
        <v>92.3</v>
      </c>
      <c r="D646" s="19">
        <v>1.83</v>
      </c>
      <c r="E646" s="19">
        <v>89.1</v>
      </c>
    </row>
    <row r="647" spans="1:5" ht="12.75">
      <c r="A647" s="496">
        <v>53</v>
      </c>
      <c r="B647" s="18">
        <v>1.88</v>
      </c>
      <c r="C647" s="19">
        <v>99.8</v>
      </c>
      <c r="D647" s="19">
        <v>1.85</v>
      </c>
      <c r="E647" s="19">
        <v>90.2</v>
      </c>
    </row>
    <row r="648" spans="1:5" ht="12.75">
      <c r="A648" s="496">
        <v>54</v>
      </c>
      <c r="B648" s="18">
        <v>1.72</v>
      </c>
      <c r="C648" s="19">
        <v>65.3</v>
      </c>
      <c r="D648" s="19">
        <v>1.68</v>
      </c>
      <c r="E648" s="19">
        <v>80.1</v>
      </c>
    </row>
    <row r="649" spans="1:5" ht="12.75">
      <c r="A649" s="496">
        <v>55</v>
      </c>
      <c r="B649" s="18">
        <v>1.63</v>
      </c>
      <c r="C649" s="19">
        <v>57.5</v>
      </c>
      <c r="D649" s="19">
        <v>1.7</v>
      </c>
      <c r="E649" s="19">
        <v>71.2</v>
      </c>
    </row>
    <row r="650" spans="1:5" ht="12.75">
      <c r="A650" s="496">
        <v>56</v>
      </c>
      <c r="B650" s="18">
        <v>1.85</v>
      </c>
      <c r="C650" s="19">
        <v>87.2</v>
      </c>
      <c r="D650" s="19">
        <v>1.81</v>
      </c>
      <c r="E650" s="19">
        <v>63</v>
      </c>
    </row>
    <row r="651" spans="1:5" ht="12.75">
      <c r="A651" s="496">
        <v>57</v>
      </c>
      <c r="B651" s="18">
        <v>1.73</v>
      </c>
      <c r="C651" s="19">
        <v>84.8</v>
      </c>
      <c r="D651" s="19">
        <v>1.61</v>
      </c>
      <c r="E651" s="19">
        <v>75.4</v>
      </c>
    </row>
    <row r="652" spans="1:5" ht="12.75">
      <c r="A652" s="496">
        <v>58</v>
      </c>
      <c r="B652" s="18">
        <v>1.61</v>
      </c>
      <c r="C652" s="19">
        <v>55.4</v>
      </c>
      <c r="D652" s="19">
        <v>1.72</v>
      </c>
      <c r="E652" s="19">
        <v>58.3</v>
      </c>
    </row>
    <row r="653" spans="1:5" ht="12.75">
      <c r="A653" s="496">
        <v>59</v>
      </c>
      <c r="B653" s="18">
        <v>1.75</v>
      </c>
      <c r="C653" s="19">
        <v>65.9</v>
      </c>
      <c r="D653" s="19">
        <v>1.63</v>
      </c>
      <c r="E653" s="19">
        <v>61.5</v>
      </c>
    </row>
    <row r="654" spans="1:5" ht="12.75">
      <c r="A654" s="496">
        <v>60</v>
      </c>
      <c r="B654" s="18">
        <v>1.81</v>
      </c>
      <c r="C654" s="19">
        <v>99</v>
      </c>
      <c r="D654" s="19">
        <v>1.69</v>
      </c>
      <c r="E654" s="19">
        <v>76.7</v>
      </c>
    </row>
    <row r="655" spans="1:5" ht="12.75">
      <c r="A655" s="496">
        <v>61</v>
      </c>
      <c r="B655" s="18">
        <v>1.47</v>
      </c>
      <c r="C655" s="19">
        <v>56</v>
      </c>
      <c r="D655" s="19">
        <v>1.54</v>
      </c>
      <c r="E655" s="19">
        <v>57.7</v>
      </c>
    </row>
    <row r="656" spans="1:5" ht="12.75">
      <c r="A656" s="496">
        <v>62</v>
      </c>
      <c r="B656" s="18">
        <v>1.53</v>
      </c>
      <c r="C656" s="19">
        <v>82.2</v>
      </c>
      <c r="D656" s="19">
        <v>1.6</v>
      </c>
      <c r="E656" s="19">
        <v>80.9</v>
      </c>
    </row>
    <row r="657" spans="1:5" ht="12.75">
      <c r="A657" s="496">
        <v>63</v>
      </c>
      <c r="B657" s="18">
        <v>1.5</v>
      </c>
      <c r="C657" s="19">
        <v>62.6</v>
      </c>
      <c r="D657" s="19">
        <v>1.55</v>
      </c>
      <c r="E657" s="19">
        <v>84.2</v>
      </c>
    </row>
    <row r="658" spans="1:5" ht="12.75">
      <c r="A658" s="496">
        <v>64</v>
      </c>
      <c r="B658" s="18">
        <v>1.55</v>
      </c>
      <c r="C658" s="19">
        <v>67.2</v>
      </c>
      <c r="D658" s="19">
        <v>1.65</v>
      </c>
      <c r="E658" s="19">
        <v>91.6</v>
      </c>
    </row>
    <row r="659" spans="1:5" ht="12.75">
      <c r="A659" s="496">
        <v>65</v>
      </c>
      <c r="B659" s="18">
        <v>1.68</v>
      </c>
      <c r="C659" s="19">
        <v>63.1</v>
      </c>
      <c r="D659" s="19">
        <v>1.58</v>
      </c>
      <c r="E659" s="19">
        <v>73.8</v>
      </c>
    </row>
    <row r="660" spans="1:5" ht="12.75">
      <c r="A660" s="496">
        <v>66</v>
      </c>
      <c r="B660" s="18">
        <v>1.63</v>
      </c>
      <c r="C660" s="19">
        <v>50.5</v>
      </c>
      <c r="D660" s="19">
        <v>1.65</v>
      </c>
      <c r="E660" s="19">
        <v>64.6</v>
      </c>
    </row>
    <row r="661" spans="1:5" ht="12.75">
      <c r="A661" s="496">
        <v>67</v>
      </c>
      <c r="B661" s="18">
        <v>1.55</v>
      </c>
      <c r="C661" s="19">
        <v>81.2</v>
      </c>
      <c r="D661" s="19">
        <v>1.6</v>
      </c>
      <c r="E661" s="19">
        <v>71.9</v>
      </c>
    </row>
    <row r="662" spans="1:5" ht="12.75">
      <c r="A662" s="496">
        <v>68</v>
      </c>
      <c r="B662" s="18">
        <v>1.81</v>
      </c>
      <c r="C662" s="19">
        <v>71</v>
      </c>
      <c r="D662" s="19">
        <v>1.75</v>
      </c>
      <c r="E662" s="19">
        <v>57.9</v>
      </c>
    </row>
    <row r="663" spans="1:5" ht="12.75">
      <c r="A663" s="496">
        <v>69</v>
      </c>
      <c r="B663" s="18">
        <v>1.72</v>
      </c>
      <c r="C663" s="19">
        <v>87.3</v>
      </c>
      <c r="D663" s="19">
        <v>1.61</v>
      </c>
      <c r="E663" s="19">
        <v>50.4</v>
      </c>
    </row>
    <row r="664" spans="1:5" ht="12.75">
      <c r="A664" s="496">
        <v>70</v>
      </c>
      <c r="B664" s="18">
        <v>1.47</v>
      </c>
      <c r="C664" s="19">
        <v>60</v>
      </c>
      <c r="D664" s="19">
        <v>1.6</v>
      </c>
      <c r="E664" s="19">
        <v>86.9</v>
      </c>
    </row>
    <row r="665" spans="1:5" ht="12.75">
      <c r="A665" s="496">
        <v>71</v>
      </c>
      <c r="B665" s="18">
        <v>1.85</v>
      </c>
      <c r="C665" s="19">
        <v>79.2</v>
      </c>
      <c r="D665" s="19">
        <v>1.82</v>
      </c>
      <c r="E665" s="19">
        <v>71.6</v>
      </c>
    </row>
    <row r="666" spans="1:5" ht="12.75">
      <c r="A666" s="496">
        <v>72</v>
      </c>
      <c r="B666" s="18">
        <v>1.47</v>
      </c>
      <c r="C666" s="19">
        <v>56</v>
      </c>
      <c r="D666" s="19">
        <v>1.62</v>
      </c>
      <c r="E666" s="19">
        <v>80</v>
      </c>
    </row>
    <row r="667" spans="1:5" ht="12.75">
      <c r="A667" s="496">
        <v>73</v>
      </c>
      <c r="B667" s="18">
        <v>1.65</v>
      </c>
      <c r="C667" s="19">
        <v>70.6</v>
      </c>
      <c r="D667" s="19">
        <v>1.68</v>
      </c>
      <c r="E667" s="19">
        <v>58.1</v>
      </c>
    </row>
    <row r="668" spans="1:5" ht="12.75">
      <c r="A668" s="496">
        <v>74</v>
      </c>
      <c r="B668" s="18">
        <v>1.7</v>
      </c>
      <c r="C668" s="19">
        <v>69.2</v>
      </c>
      <c r="D668" s="19">
        <v>1.68</v>
      </c>
      <c r="E668" s="19">
        <v>81.1</v>
      </c>
    </row>
    <row r="669" spans="1:5" ht="12.75">
      <c r="A669" s="496">
        <v>75</v>
      </c>
      <c r="B669" s="18">
        <v>1.59</v>
      </c>
      <c r="C669" s="19">
        <v>69.4</v>
      </c>
      <c r="D669" s="19">
        <v>1.67</v>
      </c>
      <c r="E669" s="19">
        <v>66.6</v>
      </c>
    </row>
    <row r="670" spans="1:5" ht="12.75">
      <c r="A670" s="496">
        <v>76</v>
      </c>
      <c r="B670" s="18">
        <v>1.57</v>
      </c>
      <c r="C670" s="19">
        <v>62.3</v>
      </c>
      <c r="D670" s="19">
        <v>1.65</v>
      </c>
      <c r="E670" s="19">
        <v>72.6</v>
      </c>
    </row>
    <row r="671" spans="1:5" ht="12.75">
      <c r="A671" s="496">
        <v>77</v>
      </c>
      <c r="B671" s="18">
        <v>1.8</v>
      </c>
      <c r="C671" s="19">
        <v>58.5</v>
      </c>
      <c r="D671" s="19">
        <v>1.76</v>
      </c>
      <c r="E671" s="19">
        <v>82.4</v>
      </c>
    </row>
    <row r="672" spans="1:5" ht="12.75">
      <c r="A672" s="496">
        <v>78</v>
      </c>
      <c r="B672" s="18">
        <v>1.6</v>
      </c>
      <c r="C672" s="19">
        <v>57.9</v>
      </c>
      <c r="D672" s="19">
        <v>1.63</v>
      </c>
      <c r="E672" s="19">
        <v>90.5</v>
      </c>
    </row>
    <row r="673" spans="1:5" ht="12.75">
      <c r="A673" s="496">
        <v>79</v>
      </c>
      <c r="B673" s="18">
        <v>1.83</v>
      </c>
      <c r="C673" s="19">
        <v>77.1</v>
      </c>
      <c r="D673" s="19">
        <v>1.73</v>
      </c>
      <c r="E673" s="19">
        <v>88.8</v>
      </c>
    </row>
    <row r="674" spans="1:5" ht="12.75">
      <c r="A674" s="496">
        <v>80</v>
      </c>
      <c r="B674" s="18">
        <v>1.65</v>
      </c>
      <c r="C674" s="19">
        <v>69.6</v>
      </c>
      <c r="D674" s="19">
        <v>1.68</v>
      </c>
      <c r="E674" s="19">
        <v>71.1</v>
      </c>
    </row>
    <row r="675" spans="1:5" ht="12.75">
      <c r="A675" s="496">
        <v>81</v>
      </c>
      <c r="B675" s="18">
        <v>1.75</v>
      </c>
      <c r="C675" s="19">
        <v>72.9</v>
      </c>
      <c r="D675" s="19">
        <v>1.67</v>
      </c>
      <c r="E675" s="19">
        <v>80.6</v>
      </c>
    </row>
    <row r="676" spans="1:5" ht="12.75">
      <c r="A676" s="496">
        <v>82</v>
      </c>
      <c r="B676" s="18">
        <v>1.62</v>
      </c>
      <c r="C676" s="19">
        <v>56</v>
      </c>
      <c r="D676" s="19">
        <v>1.72</v>
      </c>
      <c r="E676" s="19">
        <v>90.3</v>
      </c>
    </row>
    <row r="677" spans="1:5" ht="12.75">
      <c r="A677" s="496">
        <v>83</v>
      </c>
      <c r="B677" s="18">
        <v>1.7</v>
      </c>
      <c r="C677" s="19">
        <v>92.2</v>
      </c>
      <c r="D677" s="19">
        <v>1.69</v>
      </c>
      <c r="E677" s="19">
        <v>66.7</v>
      </c>
    </row>
    <row r="678" spans="1:5" ht="12.75">
      <c r="A678" s="496">
        <v>84</v>
      </c>
      <c r="B678" s="18">
        <v>1.63</v>
      </c>
      <c r="C678" s="19">
        <v>65.5</v>
      </c>
      <c r="D678" s="19">
        <v>1.68</v>
      </c>
      <c r="E678" s="19">
        <v>81.1</v>
      </c>
    </row>
    <row r="679" spans="1:5" ht="12.75">
      <c r="A679" s="497">
        <v>85</v>
      </c>
      <c r="B679" s="22">
        <v>1.83</v>
      </c>
      <c r="C679" s="23">
        <v>83.1</v>
      </c>
      <c r="D679" s="23">
        <v>1.79</v>
      </c>
      <c r="E679" s="23">
        <v>90</v>
      </c>
    </row>
    <row r="682" ht="13.5" thickBot="1">
      <c r="A682" s="64" t="s">
        <v>299</v>
      </c>
    </row>
    <row r="683" spans="1:5" ht="12.75">
      <c r="A683" s="483"/>
      <c r="B683" s="557" t="s">
        <v>22</v>
      </c>
      <c r="C683" s="557" t="s">
        <v>23</v>
      </c>
      <c r="D683" s="557" t="s">
        <v>24</v>
      </c>
      <c r="E683" s="557" t="s">
        <v>25</v>
      </c>
    </row>
    <row r="684" spans="1:5" ht="12.75">
      <c r="A684" s="555" t="s">
        <v>22</v>
      </c>
      <c r="B684" s="439">
        <v>1</v>
      </c>
      <c r="C684" s="438"/>
      <c r="D684" s="438"/>
      <c r="E684" s="438"/>
    </row>
    <row r="685" spans="1:5" ht="12.75">
      <c r="A685" s="555" t="s">
        <v>23</v>
      </c>
      <c r="B685" s="566">
        <v>0.4249617478219283</v>
      </c>
      <c r="C685" s="439">
        <v>1</v>
      </c>
      <c r="D685" s="438"/>
      <c r="E685" s="438"/>
    </row>
    <row r="686" spans="1:5" ht="12.75">
      <c r="A686" s="555" t="s">
        <v>24</v>
      </c>
      <c r="B686" s="484">
        <v>0.7807309090556679</v>
      </c>
      <c r="C686" s="485">
        <v>0.25662305027333376</v>
      </c>
      <c r="D686" s="439">
        <v>1</v>
      </c>
      <c r="E686" s="438"/>
    </row>
    <row r="687" spans="1:5" ht="13.5" thickBot="1">
      <c r="A687" s="556" t="s">
        <v>25</v>
      </c>
      <c r="B687" s="486">
        <v>0.3335403505392983</v>
      </c>
      <c r="C687" s="487">
        <v>0.08213105564433129</v>
      </c>
      <c r="D687" s="568">
        <v>0.40567673307578433</v>
      </c>
      <c r="E687" s="488">
        <v>1</v>
      </c>
    </row>
    <row r="688" ht="13.5" thickBot="1">
      <c r="A688" s="534" t="s">
        <v>300</v>
      </c>
    </row>
    <row r="689" spans="1:5" ht="12.75">
      <c r="A689" s="535"/>
      <c r="B689" s="535" t="s">
        <v>22</v>
      </c>
      <c r="C689" s="535" t="s">
        <v>23</v>
      </c>
      <c r="D689" s="535" t="s">
        <v>24</v>
      </c>
      <c r="E689" s="535" t="s">
        <v>25</v>
      </c>
    </row>
    <row r="690" spans="1:5" ht="12.75">
      <c r="A690" s="532" t="s">
        <v>22</v>
      </c>
      <c r="B690" s="186">
        <f>IF((1-B684^2)&gt;0,((85-2)*B684^2)/(1-B684^2),0)</f>
        <v>0</v>
      </c>
      <c r="C690" s="183"/>
      <c r="D690" s="183"/>
      <c r="E690" s="183"/>
    </row>
    <row r="691" spans="1:7" ht="12.75">
      <c r="A691" s="532" t="s">
        <v>23</v>
      </c>
      <c r="B691" s="567">
        <f>IF((1-B685^2)&gt;0,((85-2)*B685^2)/(1-B685^2),0)</f>
        <v>18.292700755761107</v>
      </c>
      <c r="C691" s="186">
        <f>IF((1-C685^2)&gt;0,((85-2)*C685^2)/(1-C685^2),0)</f>
        <v>0</v>
      </c>
      <c r="D691" s="183"/>
      <c r="E691" s="183"/>
      <c r="G691" s="99"/>
    </row>
    <row r="692" spans="1:5" ht="12.75">
      <c r="A692" s="532" t="s">
        <v>24</v>
      </c>
      <c r="B692" s="186">
        <f>IF((1-B686^2)&gt;0,((85-2)*B686^2)/(1-B686^2),0)</f>
        <v>129.57019906835183</v>
      </c>
      <c r="C692" s="186">
        <f>IF((1-C686^2)&gt;0,((85-2)*C686^2)/(1-C686^2),0)</f>
        <v>5.851339616380892</v>
      </c>
      <c r="D692" s="186">
        <f>IF((1-D686^2)&gt;0,((85-2)*D686^2)/(1-D686^2),0)</f>
        <v>0</v>
      </c>
      <c r="E692" s="183"/>
    </row>
    <row r="693" spans="1:7" ht="13.5" thickBot="1">
      <c r="A693" s="533" t="s">
        <v>25</v>
      </c>
      <c r="B693" s="189">
        <f>IF((1-B687^2)&gt;0,((85-2)*B687^2)/(1-B687^2),0)</f>
        <v>10.389504428306061</v>
      </c>
      <c r="C693" s="189">
        <f>IF((1-C687^2)&gt;0,((85-2)*C687^2)/(1-C687^2),0)</f>
        <v>0.5636796619703636</v>
      </c>
      <c r="D693" s="189">
        <f>IF((1-D687^2)&gt;0,((85-2)*D687^2)/(1-D687^2),0)</f>
        <v>16.350464826424215</v>
      </c>
      <c r="E693" s="189">
        <f>IF((1-E687^2)&gt;0,((85-2)*E687^2)/(1-E687^2),0)</f>
        <v>0</v>
      </c>
      <c r="G693" s="186"/>
    </row>
    <row r="694" ht="13.5" thickBot="1">
      <c r="A694" s="534" t="s">
        <v>301</v>
      </c>
    </row>
    <row r="695" spans="1:5" ht="12.75">
      <c r="A695" s="535"/>
      <c r="B695" s="535" t="s">
        <v>22</v>
      </c>
      <c r="C695" s="535" t="s">
        <v>23</v>
      </c>
      <c r="D695" s="535" t="s">
        <v>24</v>
      </c>
      <c r="E695" s="535" t="s">
        <v>25</v>
      </c>
    </row>
    <row r="696" spans="1:5" ht="12.75">
      <c r="A696" s="532" t="s">
        <v>22</v>
      </c>
      <c r="B696" s="186">
        <f>FDIST(B690,1,85-2)</f>
        <v>1</v>
      </c>
      <c r="C696" s="183"/>
      <c r="D696" s="183"/>
      <c r="E696" s="183"/>
    </row>
    <row r="697" spans="1:5" ht="12.75">
      <c r="A697" s="532" t="s">
        <v>23</v>
      </c>
      <c r="B697" s="566">
        <f aca="true" t="shared" si="18" ref="B697:C699">FDIST(B691,1,85-2)</f>
        <v>5.03791907909044E-05</v>
      </c>
      <c r="C697" s="186">
        <f t="shared" si="18"/>
        <v>1</v>
      </c>
      <c r="D697" s="183"/>
      <c r="E697" s="183"/>
    </row>
    <row r="698" spans="1:5" ht="12.75">
      <c r="A698" s="532" t="s">
        <v>24</v>
      </c>
      <c r="B698" s="187">
        <f t="shared" si="18"/>
        <v>1.2467192182777985E-18</v>
      </c>
      <c r="C698" s="187">
        <f t="shared" si="18"/>
        <v>0.017751293907176804</v>
      </c>
      <c r="D698" s="186">
        <f>FDIST(D692,1,85-2)</f>
        <v>1</v>
      </c>
      <c r="E698" s="183"/>
    </row>
    <row r="699" spans="1:5" ht="13.5" thickBot="1">
      <c r="A699" s="533" t="s">
        <v>25</v>
      </c>
      <c r="B699" s="188">
        <f t="shared" si="18"/>
        <v>0.0018121814766076329</v>
      </c>
      <c r="C699" s="189">
        <f t="shared" si="18"/>
        <v>0.4549047377204958</v>
      </c>
      <c r="D699" s="188">
        <f>FDIST(D693,1,85-2)</f>
        <v>0.00011726324220421612</v>
      </c>
      <c r="E699" s="189">
        <f>FDIST(E693,1,85-2)</f>
        <v>1</v>
      </c>
    </row>
    <row r="702" spans="1:3" ht="12.75">
      <c r="A702" s="565" t="s">
        <v>376</v>
      </c>
      <c r="B702" s="24"/>
      <c r="C702" s="37"/>
    </row>
    <row r="703" spans="1:3" ht="12.75">
      <c r="A703" s="506" t="s">
        <v>377</v>
      </c>
      <c r="B703" s="6"/>
      <c r="C703" s="28">
        <f>A679-2</f>
        <v>83</v>
      </c>
    </row>
    <row r="704" spans="1:3" ht="12.75">
      <c r="A704" s="506" t="s">
        <v>378</v>
      </c>
      <c r="B704" s="6"/>
      <c r="C704" s="39">
        <f>B685</f>
        <v>0.4249617478219283</v>
      </c>
    </row>
    <row r="705" spans="1:3" ht="12.75">
      <c r="A705" s="506" t="s">
        <v>379</v>
      </c>
      <c r="B705" s="6"/>
      <c r="C705" s="36">
        <f>83*B685^2</f>
        <v>14.989176430285058</v>
      </c>
    </row>
    <row r="706" spans="1:3" ht="12.75">
      <c r="A706" s="506" t="s">
        <v>380</v>
      </c>
      <c r="B706" s="6"/>
      <c r="C706" s="36">
        <f>(1-B685^2)</f>
        <v>0.8194075128881319</v>
      </c>
    </row>
    <row r="707" spans="1:3" ht="12.75">
      <c r="A707" s="506" t="s">
        <v>281</v>
      </c>
      <c r="B707" s="6"/>
      <c r="C707" s="85">
        <f>C705/C706</f>
        <v>18.292700755761107</v>
      </c>
    </row>
    <row r="708" spans="1:3" ht="12.75">
      <c r="A708" s="506" t="s">
        <v>261</v>
      </c>
      <c r="B708" s="6"/>
      <c r="C708" s="85">
        <f>FDIST(C707,1,C703)</f>
        <v>5.03791907909044E-05</v>
      </c>
    </row>
    <row r="709" spans="1:3" ht="12.75">
      <c r="A709" s="506" t="s">
        <v>186</v>
      </c>
      <c r="B709" s="6"/>
      <c r="C709" s="93">
        <f>SQRT(C707)</f>
        <v>4.276996698123709</v>
      </c>
    </row>
    <row r="710" spans="1:3" ht="12.75">
      <c r="A710" s="508" t="s">
        <v>381</v>
      </c>
      <c r="B710" s="10"/>
      <c r="C710" s="84">
        <f>TDIST(C709,C703,2)</f>
        <v>5.03791907909044E-05</v>
      </c>
    </row>
    <row r="711" spans="1:3" ht="12.75">
      <c r="A711" s="532"/>
      <c r="C711" s="99"/>
    </row>
    <row r="713" spans="1:2" ht="12.75">
      <c r="A713" s="64" t="s">
        <v>304</v>
      </c>
      <c r="B713" s="186"/>
    </row>
    <row r="714" spans="1:4" ht="12.75">
      <c r="A714" s="193" t="s">
        <v>302</v>
      </c>
      <c r="B714" s="194"/>
      <c r="C714" s="194"/>
      <c r="D714" s="192"/>
    </row>
    <row r="715" spans="1:4" ht="12.75">
      <c r="A715" s="489" t="s">
        <v>196</v>
      </c>
      <c r="B715" s="195"/>
      <c r="C715" s="24"/>
      <c r="D715" s="191">
        <f>STDEV($B$595:$B$679)</f>
        <v>0.12558156031567222</v>
      </c>
    </row>
    <row r="716" spans="1:4" ht="12.75">
      <c r="A716" s="498" t="s">
        <v>197</v>
      </c>
      <c r="B716" s="48"/>
      <c r="C716" s="6"/>
      <c r="D716" s="39">
        <f>STDEV($C$595:$C$679)</f>
        <v>12.511476860118732</v>
      </c>
    </row>
    <row r="717" spans="1:4" ht="12.75">
      <c r="A717" s="498" t="s">
        <v>198</v>
      </c>
      <c r="B717" s="6"/>
      <c r="C717" s="6"/>
      <c r="D717" s="39">
        <f>B685</f>
        <v>0.4249617478219283</v>
      </c>
    </row>
    <row r="718" spans="1:4" ht="12.75">
      <c r="A718" s="498" t="s">
        <v>199</v>
      </c>
      <c r="B718" s="6"/>
      <c r="C718" s="6"/>
      <c r="D718" s="93">
        <f>D717*D715/D716</f>
        <v>0.004265472410860258</v>
      </c>
    </row>
    <row r="719" spans="1:4" ht="12.75">
      <c r="A719" s="498" t="s">
        <v>200</v>
      </c>
      <c r="B719" s="6"/>
      <c r="C719" s="6"/>
      <c r="D719" s="39">
        <f>SLOPE(B595:B679,C595:C679)</f>
        <v>0.004265472410859918</v>
      </c>
    </row>
    <row r="720" spans="1:4" ht="12.75">
      <c r="A720" s="530" t="s">
        <v>201</v>
      </c>
      <c r="B720" s="6"/>
      <c r="C720" s="6"/>
      <c r="D720" s="39">
        <f>AVERAGE($B$595:$B$679)</f>
        <v>1.6735294117647055</v>
      </c>
    </row>
    <row r="721" spans="1:4" ht="12.75">
      <c r="A721" s="531" t="s">
        <v>202</v>
      </c>
      <c r="B721" s="10"/>
      <c r="C721" s="10"/>
      <c r="D721" s="82">
        <f>AVERAGE($C$595:$C$679)</f>
        <v>71.80941176470589</v>
      </c>
    </row>
    <row r="725" spans="1:4" ht="12.75">
      <c r="A725" s="193" t="s">
        <v>303</v>
      </c>
      <c r="B725" s="24"/>
      <c r="C725" s="24"/>
      <c r="D725" s="37"/>
    </row>
    <row r="726" spans="1:4" ht="12.75">
      <c r="A726" s="489" t="s">
        <v>196</v>
      </c>
      <c r="B726" s="195"/>
      <c r="C726" s="24"/>
      <c r="D726" s="191">
        <f>STDEV($B$595:$B$679)</f>
        <v>0.12558156031567222</v>
      </c>
    </row>
    <row r="727" spans="1:4" ht="12.75">
      <c r="A727" s="498" t="s">
        <v>197</v>
      </c>
      <c r="B727" s="48"/>
      <c r="C727" s="6"/>
      <c r="D727" s="39">
        <f>STDEV($C$595:$C$679)</f>
        <v>12.511476860118732</v>
      </c>
    </row>
    <row r="728" spans="1:4" ht="12.75">
      <c r="A728" s="498" t="s">
        <v>199</v>
      </c>
      <c r="B728" s="6"/>
      <c r="C728" s="6"/>
      <c r="D728" s="39">
        <f>D718</f>
        <v>0.004265472410860258</v>
      </c>
    </row>
    <row r="729" spans="1:4" ht="12.75">
      <c r="A729" s="531" t="s">
        <v>203</v>
      </c>
      <c r="B729" s="10"/>
      <c r="C729" s="10"/>
      <c r="D729" s="84">
        <f>D728*D727/D726</f>
        <v>0.4249617478219283</v>
      </c>
    </row>
    <row r="732" ht="12.75">
      <c r="A732" s="1" t="s">
        <v>213</v>
      </c>
    </row>
    <row r="734" spans="1:3" ht="12.75">
      <c r="A734" s="489"/>
      <c r="B734" s="490" t="s">
        <v>210</v>
      </c>
      <c r="C734" s="490" t="s">
        <v>212</v>
      </c>
    </row>
    <row r="735" spans="1:3" ht="13.5" thickBot="1">
      <c r="A735" s="492" t="s">
        <v>209</v>
      </c>
      <c r="B735" s="493" t="s">
        <v>51</v>
      </c>
      <c r="C735" s="493" t="s">
        <v>305</v>
      </c>
    </row>
    <row r="736" spans="1:3" ht="13.5" thickTop="1">
      <c r="A736" s="498" t="s">
        <v>204</v>
      </c>
      <c r="B736" s="28">
        <v>45</v>
      </c>
      <c r="C736" s="157">
        <f>(B736-$B$741)/$B$742</f>
        <v>-2</v>
      </c>
    </row>
    <row r="737" spans="1:3" ht="12.75">
      <c r="A737" s="498" t="s">
        <v>205</v>
      </c>
      <c r="B737" s="28">
        <v>60</v>
      </c>
      <c r="C737" s="157">
        <f>(B737-$B$741)/$B$742</f>
        <v>-1</v>
      </c>
    </row>
    <row r="738" spans="1:3" ht="12.75">
      <c r="A738" s="498" t="s">
        <v>206</v>
      </c>
      <c r="B738" s="28">
        <v>75</v>
      </c>
      <c r="C738" s="157">
        <f>(B738-$B$741)/$B$742</f>
        <v>0</v>
      </c>
    </row>
    <row r="739" spans="1:3" ht="12.75">
      <c r="A739" s="498" t="s">
        <v>207</v>
      </c>
      <c r="B739" s="28">
        <f>B738+15</f>
        <v>90</v>
      </c>
      <c r="C739" s="157">
        <f>(B739-$B$741)/$B$742</f>
        <v>1</v>
      </c>
    </row>
    <row r="740" spans="1:3" ht="13.5" thickBot="1">
      <c r="A740" s="536" t="s">
        <v>208</v>
      </c>
      <c r="B740" s="41">
        <f>B739+15</f>
        <v>105</v>
      </c>
      <c r="C740" s="284">
        <f>(B740-$B$741)/$B$742</f>
        <v>2</v>
      </c>
    </row>
    <row r="741" spans="1:3" ht="12.75">
      <c r="A741" s="498" t="s">
        <v>138</v>
      </c>
      <c r="B741" s="28">
        <f>AVERAGE(B736:B740)</f>
        <v>75</v>
      </c>
      <c r="C741" s="28"/>
    </row>
    <row r="742" spans="1:3" ht="12.75">
      <c r="A742" s="499" t="s">
        <v>211</v>
      </c>
      <c r="B742" s="30">
        <v>15</v>
      </c>
      <c r="C742" s="30"/>
    </row>
    <row r="746" ht="12.75">
      <c r="A746" s="64" t="s">
        <v>306</v>
      </c>
    </row>
    <row r="747" spans="1:5" ht="12.75">
      <c r="A747" s="523" t="s">
        <v>234</v>
      </c>
      <c r="B747" s="490" t="s">
        <v>229</v>
      </c>
      <c r="C747" s="537" t="s">
        <v>230</v>
      </c>
      <c r="D747" s="490" t="s">
        <v>231</v>
      </c>
      <c r="E747" s="501" t="s">
        <v>232</v>
      </c>
    </row>
    <row r="748" spans="1:5" ht="13.5" thickBot="1">
      <c r="A748" s="538" t="s">
        <v>233</v>
      </c>
      <c r="B748" s="539" t="s">
        <v>53</v>
      </c>
      <c r="C748" s="540" t="s">
        <v>54</v>
      </c>
      <c r="D748" s="539" t="s">
        <v>55</v>
      </c>
      <c r="E748" s="541" t="s">
        <v>56</v>
      </c>
    </row>
    <row r="749" spans="1:5" ht="13.5" thickTop="1">
      <c r="A749" s="542">
        <v>45</v>
      </c>
      <c r="B749" s="204">
        <v>-2</v>
      </c>
      <c r="C749" s="203">
        <v>2</v>
      </c>
      <c r="D749" s="204">
        <v>-1</v>
      </c>
      <c r="E749" s="286">
        <v>1</v>
      </c>
    </row>
    <row r="750" spans="1:5" ht="12.75">
      <c r="A750" s="542">
        <v>60</v>
      </c>
      <c r="B750" s="204">
        <v>-1</v>
      </c>
      <c r="C750" s="203">
        <v>-1</v>
      </c>
      <c r="D750" s="204">
        <v>2</v>
      </c>
      <c r="E750" s="286">
        <v>-4</v>
      </c>
    </row>
    <row r="751" spans="1:5" ht="12.75">
      <c r="A751" s="542">
        <v>75</v>
      </c>
      <c r="B751" s="204">
        <v>0</v>
      </c>
      <c r="C751" s="203">
        <v>-2</v>
      </c>
      <c r="D751" s="204">
        <v>0</v>
      </c>
      <c r="E751" s="286">
        <v>6</v>
      </c>
    </row>
    <row r="752" spans="1:5" ht="12.75">
      <c r="A752" s="542">
        <f>A751+15</f>
        <v>90</v>
      </c>
      <c r="B752" s="204">
        <v>1</v>
      </c>
      <c r="C752" s="203">
        <v>-1</v>
      </c>
      <c r="D752" s="204">
        <v>-2</v>
      </c>
      <c r="E752" s="286">
        <v>-4</v>
      </c>
    </row>
    <row r="753" spans="1:5" ht="12.75">
      <c r="A753" s="543">
        <f>A752+15</f>
        <v>105</v>
      </c>
      <c r="B753" s="208">
        <v>2</v>
      </c>
      <c r="C753" s="205">
        <v>2</v>
      </c>
      <c r="D753" s="208">
        <v>1</v>
      </c>
      <c r="E753" s="287">
        <v>1</v>
      </c>
    </row>
    <row r="754" spans="1:5" ht="12.75">
      <c r="A754" s="9" t="s">
        <v>248</v>
      </c>
      <c r="B754" s="241">
        <f>B749^2+B750^2+B751^2+B752^2+B753^2</f>
        <v>10</v>
      </c>
      <c r="C754" s="288">
        <f>C749^2+C750^2+C751^2+C752^2+C753^2</f>
        <v>14</v>
      </c>
      <c r="D754" s="241">
        <f>D749^2+D750^2+D751^2+D752^2+D753^2</f>
        <v>10</v>
      </c>
      <c r="E754" s="289">
        <f>E749^2+E750^2+E751^2+E752^2+E753^2</f>
        <v>70</v>
      </c>
    </row>
    <row r="757" spans="1:7" ht="12.75">
      <c r="A757" s="489" t="s">
        <v>38</v>
      </c>
      <c r="B757" s="490" t="s">
        <v>39</v>
      </c>
      <c r="C757" s="491" t="s">
        <v>40</v>
      </c>
      <c r="D757" s="627" t="s">
        <v>214</v>
      </c>
      <c r="E757" s="632"/>
      <c r="F757" s="632"/>
      <c r="G757" s="628"/>
    </row>
    <row r="758" spans="1:7" ht="13.5" thickBot="1">
      <c r="A758" s="492" t="s">
        <v>47</v>
      </c>
      <c r="B758" s="493" t="s">
        <v>48</v>
      </c>
      <c r="C758" s="494" t="s">
        <v>49</v>
      </c>
      <c r="D758" s="545" t="s">
        <v>53</v>
      </c>
      <c r="E758" s="545" t="s">
        <v>54</v>
      </c>
      <c r="F758" s="546" t="s">
        <v>55</v>
      </c>
      <c r="G758" s="545" t="s">
        <v>56</v>
      </c>
    </row>
    <row r="759" spans="1:7" ht="13.5" thickTop="1">
      <c r="A759" s="547">
        <v>1</v>
      </c>
      <c r="B759" s="28">
        <v>45</v>
      </c>
      <c r="C759" s="50">
        <v>5.772</v>
      </c>
      <c r="D759" s="198">
        <v>-2</v>
      </c>
      <c r="E759" s="198">
        <v>2</v>
      </c>
      <c r="F759" s="199">
        <v>-1</v>
      </c>
      <c r="G759" s="198">
        <v>1</v>
      </c>
    </row>
    <row r="760" spans="1:7" ht="12.75">
      <c r="A760" s="547">
        <v>2</v>
      </c>
      <c r="B760" s="28">
        <v>45</v>
      </c>
      <c r="C760" s="50">
        <v>15.456</v>
      </c>
      <c r="D760" s="198">
        <v>-2</v>
      </c>
      <c r="E760" s="198">
        <v>2</v>
      </c>
      <c r="F760" s="199">
        <v>-1</v>
      </c>
      <c r="G760" s="198">
        <v>1</v>
      </c>
    </row>
    <row r="761" spans="1:7" ht="12.75">
      <c r="A761" s="547">
        <v>3</v>
      </c>
      <c r="B761" s="28">
        <v>45</v>
      </c>
      <c r="C761" s="50">
        <v>17.494</v>
      </c>
      <c r="D761" s="198">
        <v>-2</v>
      </c>
      <c r="E761" s="198">
        <v>2</v>
      </c>
      <c r="F761" s="199">
        <v>-1</v>
      </c>
      <c r="G761" s="198">
        <v>1</v>
      </c>
    </row>
    <row r="762" spans="1:7" ht="12.75">
      <c r="A762" s="547">
        <v>4</v>
      </c>
      <c r="B762" s="28">
        <v>45</v>
      </c>
      <c r="C762" s="50">
        <v>14.089</v>
      </c>
      <c r="D762" s="198">
        <v>-2</v>
      </c>
      <c r="E762" s="198">
        <v>2</v>
      </c>
      <c r="F762" s="199">
        <v>-1</v>
      </c>
      <c r="G762" s="198">
        <v>1</v>
      </c>
    </row>
    <row r="763" spans="1:7" ht="12.75">
      <c r="A763" s="547">
        <v>5</v>
      </c>
      <c r="B763" s="28">
        <v>45</v>
      </c>
      <c r="C763" s="50">
        <v>8.309</v>
      </c>
      <c r="D763" s="198">
        <v>-2</v>
      </c>
      <c r="E763" s="198">
        <v>2</v>
      </c>
      <c r="F763" s="199">
        <v>-1</v>
      </c>
      <c r="G763" s="198">
        <v>1</v>
      </c>
    </row>
    <row r="764" spans="1:7" ht="12.75">
      <c r="A764" s="547">
        <v>6</v>
      </c>
      <c r="B764" s="28">
        <v>45</v>
      </c>
      <c r="C764" s="50">
        <v>13.725</v>
      </c>
      <c r="D764" s="198">
        <v>-2</v>
      </c>
      <c r="E764" s="198">
        <v>2</v>
      </c>
      <c r="F764" s="199">
        <v>-1</v>
      </c>
      <c r="G764" s="198">
        <v>1</v>
      </c>
    </row>
    <row r="765" spans="1:7" ht="12.75">
      <c r="A765" s="547">
        <v>7</v>
      </c>
      <c r="B765" s="28">
        <v>45</v>
      </c>
      <c r="C765" s="50">
        <v>8.48</v>
      </c>
      <c r="D765" s="198">
        <v>-2</v>
      </c>
      <c r="E765" s="198">
        <v>2</v>
      </c>
      <c r="F765" s="199">
        <v>-1</v>
      </c>
      <c r="G765" s="198">
        <v>1</v>
      </c>
    </row>
    <row r="766" spans="1:7" ht="12.75">
      <c r="A766" s="547">
        <v>8</v>
      </c>
      <c r="B766" s="28">
        <v>45</v>
      </c>
      <c r="C766" s="50">
        <v>6.203</v>
      </c>
      <c r="D766" s="198">
        <v>-2</v>
      </c>
      <c r="E766" s="198">
        <v>2</v>
      </c>
      <c r="F766" s="199">
        <v>-1</v>
      </c>
      <c r="G766" s="198">
        <v>1</v>
      </c>
    </row>
    <row r="767" spans="1:7" ht="12.75">
      <c r="A767" s="547">
        <v>9</v>
      </c>
      <c r="B767" s="28">
        <v>45</v>
      </c>
      <c r="C767" s="50">
        <v>8.747</v>
      </c>
      <c r="D767" s="198">
        <v>-2</v>
      </c>
      <c r="E767" s="198">
        <v>2</v>
      </c>
      <c r="F767" s="199">
        <v>-1</v>
      </c>
      <c r="G767" s="198">
        <v>1</v>
      </c>
    </row>
    <row r="768" spans="1:7" ht="12.75">
      <c r="A768" s="547">
        <v>10</v>
      </c>
      <c r="B768" s="28">
        <v>45</v>
      </c>
      <c r="C768" s="50">
        <v>14.952</v>
      </c>
      <c r="D768" s="198">
        <v>-2</v>
      </c>
      <c r="E768" s="198">
        <v>2</v>
      </c>
      <c r="F768" s="199">
        <v>-1</v>
      </c>
      <c r="G768" s="198">
        <v>1</v>
      </c>
    </row>
    <row r="769" spans="1:7" ht="12.75">
      <c r="A769" s="547">
        <v>11</v>
      </c>
      <c r="B769" s="28">
        <v>45</v>
      </c>
      <c r="C769" s="50">
        <v>15.646</v>
      </c>
      <c r="D769" s="198">
        <v>-2</v>
      </c>
      <c r="E769" s="198">
        <v>2</v>
      </c>
      <c r="F769" s="199">
        <v>-1</v>
      </c>
      <c r="G769" s="198">
        <v>1</v>
      </c>
    </row>
    <row r="770" spans="1:7" ht="12.75">
      <c r="A770" s="547">
        <v>12</v>
      </c>
      <c r="B770" s="28">
        <v>45</v>
      </c>
      <c r="C770" s="50">
        <v>15.668</v>
      </c>
      <c r="D770" s="198">
        <v>-2</v>
      </c>
      <c r="E770" s="198">
        <v>2</v>
      </c>
      <c r="F770" s="199">
        <v>-1</v>
      </c>
      <c r="G770" s="198">
        <v>1</v>
      </c>
    </row>
    <row r="771" spans="1:7" ht="12.75">
      <c r="A771" s="547">
        <v>1</v>
      </c>
      <c r="B771" s="28">
        <v>60</v>
      </c>
      <c r="C771" s="50">
        <v>28.255</v>
      </c>
      <c r="D771" s="198">
        <v>-1</v>
      </c>
      <c r="E771" s="198">
        <v>-1</v>
      </c>
      <c r="F771" s="199">
        <v>2</v>
      </c>
      <c r="G771" s="198">
        <v>-4</v>
      </c>
    </row>
    <row r="772" spans="1:7" ht="12.75">
      <c r="A772" s="547">
        <v>2</v>
      </c>
      <c r="B772" s="28">
        <v>60</v>
      </c>
      <c r="C772" s="50">
        <v>26.243</v>
      </c>
      <c r="D772" s="198">
        <v>-1</v>
      </c>
      <c r="E772" s="198">
        <v>-1</v>
      </c>
      <c r="F772" s="199">
        <v>2</v>
      </c>
      <c r="G772" s="198">
        <v>-4</v>
      </c>
    </row>
    <row r="773" spans="1:7" ht="12.75">
      <c r="A773" s="547">
        <v>3</v>
      </c>
      <c r="B773" s="28">
        <v>60</v>
      </c>
      <c r="C773" s="50">
        <v>30.469</v>
      </c>
      <c r="D773" s="198">
        <v>-1</v>
      </c>
      <c r="E773" s="198">
        <v>-1</v>
      </c>
      <c r="F773" s="199">
        <v>2</v>
      </c>
      <c r="G773" s="198">
        <v>-4</v>
      </c>
    </row>
    <row r="774" spans="1:7" ht="12.75">
      <c r="A774" s="547">
        <v>4</v>
      </c>
      <c r="B774" s="28">
        <v>60</v>
      </c>
      <c r="C774" s="50">
        <v>25.111</v>
      </c>
      <c r="D774" s="198">
        <v>-1</v>
      </c>
      <c r="E774" s="198">
        <v>-1</v>
      </c>
      <c r="F774" s="199">
        <v>2</v>
      </c>
      <c r="G774" s="198">
        <v>-4</v>
      </c>
    </row>
    <row r="775" spans="1:7" ht="12.75">
      <c r="A775" s="547">
        <v>5</v>
      </c>
      <c r="B775" s="28">
        <v>60</v>
      </c>
      <c r="C775" s="50">
        <v>26.425</v>
      </c>
      <c r="D775" s="198">
        <v>-1</v>
      </c>
      <c r="E775" s="198">
        <v>-1</v>
      </c>
      <c r="F775" s="199">
        <v>2</v>
      </c>
      <c r="G775" s="198">
        <v>-4</v>
      </c>
    </row>
    <row r="776" spans="1:7" ht="12.75">
      <c r="A776" s="547">
        <v>6</v>
      </c>
      <c r="B776" s="28">
        <v>60</v>
      </c>
      <c r="C776" s="50">
        <v>23.511</v>
      </c>
      <c r="D776" s="198">
        <v>-1</v>
      </c>
      <c r="E776" s="198">
        <v>-1</v>
      </c>
      <c r="F776" s="199">
        <v>2</v>
      </c>
      <c r="G776" s="198">
        <v>-4</v>
      </c>
    </row>
    <row r="777" spans="1:7" ht="12.75">
      <c r="A777" s="547">
        <v>7</v>
      </c>
      <c r="B777" s="28">
        <v>60</v>
      </c>
      <c r="C777" s="50">
        <v>24.711</v>
      </c>
      <c r="D777" s="198">
        <v>-1</v>
      </c>
      <c r="E777" s="198">
        <v>-1</v>
      </c>
      <c r="F777" s="199">
        <v>2</v>
      </c>
      <c r="G777" s="198">
        <v>-4</v>
      </c>
    </row>
    <row r="778" spans="1:7" ht="12.75">
      <c r="A778" s="547">
        <v>8</v>
      </c>
      <c r="B778" s="28">
        <v>60</v>
      </c>
      <c r="C778" s="50">
        <v>30.11</v>
      </c>
      <c r="D778" s="198">
        <v>-1</v>
      </c>
      <c r="E778" s="198">
        <v>-1</v>
      </c>
      <c r="F778" s="199">
        <v>2</v>
      </c>
      <c r="G778" s="198">
        <v>-4</v>
      </c>
    </row>
    <row r="779" spans="1:7" ht="12.75">
      <c r="A779" s="547">
        <v>9</v>
      </c>
      <c r="B779" s="28">
        <v>60</v>
      </c>
      <c r="C779" s="50">
        <v>28.974</v>
      </c>
      <c r="D779" s="198">
        <v>-1</v>
      </c>
      <c r="E779" s="198">
        <v>-1</v>
      </c>
      <c r="F779" s="199">
        <v>2</v>
      </c>
      <c r="G779" s="198">
        <v>-4</v>
      </c>
    </row>
    <row r="780" spans="1:7" ht="12.75">
      <c r="A780" s="547">
        <v>10</v>
      </c>
      <c r="B780" s="28">
        <v>60</v>
      </c>
      <c r="C780" s="50">
        <v>34.845</v>
      </c>
      <c r="D780" s="198">
        <v>-1</v>
      </c>
      <c r="E780" s="198">
        <v>-1</v>
      </c>
      <c r="F780" s="199">
        <v>2</v>
      </c>
      <c r="G780" s="198">
        <v>-4</v>
      </c>
    </row>
    <row r="781" spans="1:7" ht="12.75">
      <c r="A781" s="547">
        <v>11</v>
      </c>
      <c r="B781" s="28">
        <v>60</v>
      </c>
      <c r="C781" s="50">
        <v>31.636</v>
      </c>
      <c r="D781" s="198">
        <v>-1</v>
      </c>
      <c r="E781" s="198">
        <v>-1</v>
      </c>
      <c r="F781" s="199">
        <v>2</v>
      </c>
      <c r="G781" s="198">
        <v>-4</v>
      </c>
    </row>
    <row r="782" spans="1:7" ht="12.75">
      <c r="A782" s="547">
        <v>12</v>
      </c>
      <c r="B782" s="28">
        <v>60</v>
      </c>
      <c r="C782" s="50">
        <v>31.518</v>
      </c>
      <c r="D782" s="198">
        <v>-1</v>
      </c>
      <c r="E782" s="198">
        <v>-1</v>
      </c>
      <c r="F782" s="199">
        <v>2</v>
      </c>
      <c r="G782" s="198">
        <v>-4</v>
      </c>
    </row>
    <row r="783" spans="1:7" ht="12.75">
      <c r="A783" s="547">
        <v>1</v>
      </c>
      <c r="B783" s="28">
        <v>75</v>
      </c>
      <c r="C783" s="50">
        <v>39.726</v>
      </c>
      <c r="D783" s="198">
        <v>0</v>
      </c>
      <c r="E783" s="198">
        <v>-2</v>
      </c>
      <c r="F783" s="199">
        <v>0</v>
      </c>
      <c r="G783" s="198">
        <v>6</v>
      </c>
    </row>
    <row r="784" spans="1:7" ht="12.75">
      <c r="A784" s="547">
        <v>2</v>
      </c>
      <c r="B784" s="28">
        <v>75</v>
      </c>
      <c r="C784" s="50">
        <v>44.328</v>
      </c>
      <c r="D784" s="198">
        <v>0</v>
      </c>
      <c r="E784" s="198">
        <v>-2</v>
      </c>
      <c r="F784" s="199">
        <v>0</v>
      </c>
      <c r="G784" s="198">
        <v>6</v>
      </c>
    </row>
    <row r="785" spans="1:7" ht="12.75">
      <c r="A785" s="547">
        <v>3</v>
      </c>
      <c r="B785" s="28">
        <v>75</v>
      </c>
      <c r="C785" s="50">
        <v>44.397</v>
      </c>
      <c r="D785" s="198">
        <v>0</v>
      </c>
      <c r="E785" s="198">
        <v>-2</v>
      </c>
      <c r="F785" s="199">
        <v>0</v>
      </c>
      <c r="G785" s="198">
        <v>6</v>
      </c>
    </row>
    <row r="786" spans="1:7" ht="12.75">
      <c r="A786" s="547">
        <v>4</v>
      </c>
      <c r="B786" s="28">
        <v>75</v>
      </c>
      <c r="C786" s="50">
        <v>41.42</v>
      </c>
      <c r="D786" s="198">
        <v>0</v>
      </c>
      <c r="E786" s="198">
        <v>-2</v>
      </c>
      <c r="F786" s="199">
        <v>0</v>
      </c>
      <c r="G786" s="198">
        <v>6</v>
      </c>
    </row>
    <row r="787" spans="1:7" ht="12.75">
      <c r="A787" s="547">
        <v>5</v>
      </c>
      <c r="B787" s="28">
        <v>75</v>
      </c>
      <c r="C787" s="50">
        <v>44.211</v>
      </c>
      <c r="D787" s="198">
        <v>0</v>
      </c>
      <c r="E787" s="198">
        <v>-2</v>
      </c>
      <c r="F787" s="199">
        <v>0</v>
      </c>
      <c r="G787" s="198">
        <v>6</v>
      </c>
    </row>
    <row r="788" spans="1:7" ht="12.75">
      <c r="A788" s="547">
        <v>6</v>
      </c>
      <c r="B788" s="28">
        <v>75</v>
      </c>
      <c r="C788" s="50">
        <v>32.227</v>
      </c>
      <c r="D788" s="198">
        <v>0</v>
      </c>
      <c r="E788" s="198">
        <v>-2</v>
      </c>
      <c r="F788" s="199">
        <v>0</v>
      </c>
      <c r="G788" s="198">
        <v>6</v>
      </c>
    </row>
    <row r="789" spans="1:7" ht="12.75">
      <c r="A789" s="547">
        <v>7</v>
      </c>
      <c r="B789" s="28">
        <v>75</v>
      </c>
      <c r="C789" s="50">
        <v>39.056</v>
      </c>
      <c r="D789" s="198">
        <v>0</v>
      </c>
      <c r="E789" s="198">
        <v>-2</v>
      </c>
      <c r="F789" s="199">
        <v>0</v>
      </c>
      <c r="G789" s="198">
        <v>6</v>
      </c>
    </row>
    <row r="790" spans="1:7" ht="12.75">
      <c r="A790" s="547">
        <v>8</v>
      </c>
      <c r="B790" s="28">
        <v>75</v>
      </c>
      <c r="C790" s="50">
        <v>37.045</v>
      </c>
      <c r="D790" s="198">
        <v>0</v>
      </c>
      <c r="E790" s="198">
        <v>-2</v>
      </c>
      <c r="F790" s="199">
        <v>0</v>
      </c>
      <c r="G790" s="198">
        <v>6</v>
      </c>
    </row>
    <row r="791" spans="1:7" ht="12.75">
      <c r="A791" s="547">
        <v>9</v>
      </c>
      <c r="B791" s="28">
        <v>75</v>
      </c>
      <c r="C791" s="50">
        <v>37.754</v>
      </c>
      <c r="D791" s="198">
        <v>0</v>
      </c>
      <c r="E791" s="198">
        <v>-2</v>
      </c>
      <c r="F791" s="199">
        <v>0</v>
      </c>
      <c r="G791" s="198">
        <v>6</v>
      </c>
    </row>
    <row r="792" spans="1:7" ht="12.75">
      <c r="A792" s="547">
        <v>10</v>
      </c>
      <c r="B792" s="28">
        <v>75</v>
      </c>
      <c r="C792" s="50">
        <v>34.828</v>
      </c>
      <c r="D792" s="198">
        <v>0</v>
      </c>
      <c r="E792" s="198">
        <v>-2</v>
      </c>
      <c r="F792" s="199">
        <v>0</v>
      </c>
      <c r="G792" s="198">
        <v>6</v>
      </c>
    </row>
    <row r="793" spans="1:7" ht="12.75">
      <c r="A793" s="547">
        <v>11</v>
      </c>
      <c r="B793" s="28">
        <v>75</v>
      </c>
      <c r="C793" s="50">
        <v>43.356</v>
      </c>
      <c r="D793" s="198">
        <v>0</v>
      </c>
      <c r="E793" s="198">
        <v>-2</v>
      </c>
      <c r="F793" s="199">
        <v>0</v>
      </c>
      <c r="G793" s="198">
        <v>6</v>
      </c>
    </row>
    <row r="794" spans="1:7" ht="12.75">
      <c r="A794" s="547">
        <v>12</v>
      </c>
      <c r="B794" s="28">
        <v>75</v>
      </c>
      <c r="C794" s="50">
        <v>44.311</v>
      </c>
      <c r="D794" s="198">
        <v>0</v>
      </c>
      <c r="E794" s="198">
        <v>-2</v>
      </c>
      <c r="F794" s="199">
        <v>0</v>
      </c>
      <c r="G794" s="198">
        <v>6</v>
      </c>
    </row>
    <row r="795" spans="1:7" ht="12.75">
      <c r="A795" s="547">
        <v>1</v>
      </c>
      <c r="B795" s="28">
        <v>90</v>
      </c>
      <c r="C795" s="50">
        <v>30.685</v>
      </c>
      <c r="D795" s="198">
        <v>1</v>
      </c>
      <c r="E795" s="198">
        <v>-1</v>
      </c>
      <c r="F795" s="199">
        <v>-2</v>
      </c>
      <c r="G795" s="198">
        <v>-4</v>
      </c>
    </row>
    <row r="796" spans="1:7" ht="12.75">
      <c r="A796" s="547">
        <v>2</v>
      </c>
      <c r="B796" s="28">
        <v>90</v>
      </c>
      <c r="C796" s="50">
        <v>37.967</v>
      </c>
      <c r="D796" s="198">
        <v>1</v>
      </c>
      <c r="E796" s="198">
        <v>-1</v>
      </c>
      <c r="F796" s="199">
        <v>-2</v>
      </c>
      <c r="G796" s="198">
        <v>-4</v>
      </c>
    </row>
    <row r="797" spans="1:7" ht="12.75">
      <c r="A797" s="547">
        <v>3</v>
      </c>
      <c r="B797" s="28">
        <v>90</v>
      </c>
      <c r="C797" s="50">
        <v>33.141</v>
      </c>
      <c r="D797" s="198">
        <v>1</v>
      </c>
      <c r="E797" s="198">
        <v>-1</v>
      </c>
      <c r="F797" s="199">
        <v>-2</v>
      </c>
      <c r="G797" s="198">
        <v>-4</v>
      </c>
    </row>
    <row r="798" spans="1:7" ht="12.75">
      <c r="A798" s="547">
        <v>4</v>
      </c>
      <c r="B798" s="28">
        <v>90</v>
      </c>
      <c r="C798" s="50">
        <v>36.446</v>
      </c>
      <c r="D798" s="198">
        <v>1</v>
      </c>
      <c r="E798" s="198">
        <v>-1</v>
      </c>
      <c r="F798" s="199">
        <v>-2</v>
      </c>
      <c r="G798" s="198">
        <v>-4</v>
      </c>
    </row>
    <row r="799" spans="1:7" ht="12.75">
      <c r="A799" s="547">
        <v>5</v>
      </c>
      <c r="B799" s="28">
        <v>90</v>
      </c>
      <c r="C799" s="50">
        <v>32.537</v>
      </c>
      <c r="D799" s="198">
        <v>1</v>
      </c>
      <c r="E799" s="198">
        <v>-1</v>
      </c>
      <c r="F799" s="199">
        <v>-2</v>
      </c>
      <c r="G799" s="198">
        <v>-4</v>
      </c>
    </row>
    <row r="800" spans="1:7" ht="12.75">
      <c r="A800" s="547">
        <v>6</v>
      </c>
      <c r="B800" s="28">
        <v>90</v>
      </c>
      <c r="C800" s="50">
        <v>33.849</v>
      </c>
      <c r="D800" s="198">
        <v>1</v>
      </c>
      <c r="E800" s="198">
        <v>-1</v>
      </c>
      <c r="F800" s="199">
        <v>-2</v>
      </c>
      <c r="G800" s="198">
        <v>-4</v>
      </c>
    </row>
    <row r="801" spans="1:7" ht="12.75">
      <c r="A801" s="547">
        <v>7</v>
      </c>
      <c r="B801" s="28">
        <v>90</v>
      </c>
      <c r="C801" s="50">
        <v>38.898</v>
      </c>
      <c r="D801" s="198">
        <v>1</v>
      </c>
      <c r="E801" s="198">
        <v>-1</v>
      </c>
      <c r="F801" s="199">
        <v>-2</v>
      </c>
      <c r="G801" s="198">
        <v>-4</v>
      </c>
    </row>
    <row r="802" spans="1:7" ht="12.75">
      <c r="A802" s="547">
        <v>8</v>
      </c>
      <c r="B802" s="28">
        <v>90</v>
      </c>
      <c r="C802" s="50">
        <v>33.851</v>
      </c>
      <c r="D802" s="198">
        <v>1</v>
      </c>
      <c r="E802" s="198">
        <v>-1</v>
      </c>
      <c r="F802" s="199">
        <v>-2</v>
      </c>
      <c r="G802" s="198">
        <v>-4</v>
      </c>
    </row>
    <row r="803" spans="1:7" ht="12.75">
      <c r="A803" s="547">
        <v>9</v>
      </c>
      <c r="B803" s="28">
        <v>90</v>
      </c>
      <c r="C803" s="50">
        <v>32.746</v>
      </c>
      <c r="D803" s="198">
        <v>1</v>
      </c>
      <c r="E803" s="198">
        <v>-1</v>
      </c>
      <c r="F803" s="199">
        <v>-2</v>
      </c>
      <c r="G803" s="198">
        <v>-4</v>
      </c>
    </row>
    <row r="804" spans="1:7" ht="12.75">
      <c r="A804" s="547">
        <v>10</v>
      </c>
      <c r="B804" s="28">
        <v>90</v>
      </c>
      <c r="C804" s="50">
        <v>34.381</v>
      </c>
      <c r="D804" s="198">
        <v>1</v>
      </c>
      <c r="E804" s="198">
        <v>-1</v>
      </c>
      <c r="F804" s="199">
        <v>-2</v>
      </c>
      <c r="G804" s="198">
        <v>-4</v>
      </c>
    </row>
    <row r="805" spans="1:7" ht="12.75">
      <c r="A805" s="547">
        <v>11</v>
      </c>
      <c r="B805" s="28">
        <v>90</v>
      </c>
      <c r="C805" s="50">
        <v>42.469</v>
      </c>
      <c r="D805" s="198">
        <v>1</v>
      </c>
      <c r="E805" s="198">
        <v>-1</v>
      </c>
      <c r="F805" s="199">
        <v>-2</v>
      </c>
      <c r="G805" s="198">
        <v>-4</v>
      </c>
    </row>
    <row r="806" spans="1:7" ht="12.75">
      <c r="A806" s="547">
        <v>12</v>
      </c>
      <c r="B806" s="28">
        <v>90</v>
      </c>
      <c r="C806" s="50">
        <v>36.475</v>
      </c>
      <c r="D806" s="198">
        <v>1</v>
      </c>
      <c r="E806" s="198">
        <v>-1</v>
      </c>
      <c r="F806" s="199">
        <v>-2</v>
      </c>
      <c r="G806" s="198">
        <v>-4</v>
      </c>
    </row>
    <row r="807" spans="1:7" ht="12.75">
      <c r="A807" s="547">
        <v>1</v>
      </c>
      <c r="B807" s="28">
        <v>105</v>
      </c>
      <c r="C807" s="50">
        <v>22.063</v>
      </c>
      <c r="D807" s="198">
        <v>2</v>
      </c>
      <c r="E807" s="198">
        <v>2</v>
      </c>
      <c r="F807" s="199">
        <v>1</v>
      </c>
      <c r="G807" s="198">
        <v>1</v>
      </c>
    </row>
    <row r="808" spans="1:7" ht="12.75">
      <c r="A808" s="547">
        <v>2</v>
      </c>
      <c r="B808" s="28">
        <v>105</v>
      </c>
      <c r="C808" s="50">
        <v>27.358</v>
      </c>
      <c r="D808" s="198">
        <v>2</v>
      </c>
      <c r="E808" s="198">
        <v>2</v>
      </c>
      <c r="F808" s="199">
        <v>1</v>
      </c>
      <c r="G808" s="198">
        <v>1</v>
      </c>
    </row>
    <row r="809" spans="1:7" ht="12.75">
      <c r="A809" s="547">
        <v>3</v>
      </c>
      <c r="B809" s="28">
        <v>105</v>
      </c>
      <c r="C809" s="50">
        <v>20.431</v>
      </c>
      <c r="D809" s="198">
        <v>2</v>
      </c>
      <c r="E809" s="198">
        <v>2</v>
      </c>
      <c r="F809" s="199">
        <v>1</v>
      </c>
      <c r="G809" s="198">
        <v>1</v>
      </c>
    </row>
    <row r="810" spans="1:7" ht="12.75">
      <c r="A810" s="547">
        <v>4</v>
      </c>
      <c r="B810" s="28">
        <v>105</v>
      </c>
      <c r="C810" s="50">
        <v>19.384</v>
      </c>
      <c r="D810" s="198">
        <v>2</v>
      </c>
      <c r="E810" s="198">
        <v>2</v>
      </c>
      <c r="F810" s="199">
        <v>1</v>
      </c>
      <c r="G810" s="198">
        <v>1</v>
      </c>
    </row>
    <row r="811" spans="1:7" ht="12.75">
      <c r="A811" s="547">
        <v>5</v>
      </c>
      <c r="B811" s="28">
        <v>105</v>
      </c>
      <c r="C811" s="50">
        <v>19.712</v>
      </c>
      <c r="D811" s="198">
        <v>2</v>
      </c>
      <c r="E811" s="198">
        <v>2</v>
      </c>
      <c r="F811" s="199">
        <v>1</v>
      </c>
      <c r="G811" s="198">
        <v>1</v>
      </c>
    </row>
    <row r="812" spans="1:7" ht="12.75">
      <c r="A812" s="547">
        <v>6</v>
      </c>
      <c r="B812" s="28">
        <v>105</v>
      </c>
      <c r="C812" s="50">
        <v>23.419</v>
      </c>
      <c r="D812" s="198">
        <v>2</v>
      </c>
      <c r="E812" s="198">
        <v>2</v>
      </c>
      <c r="F812" s="199">
        <v>1</v>
      </c>
      <c r="G812" s="198">
        <v>1</v>
      </c>
    </row>
    <row r="813" spans="1:7" ht="12.75">
      <c r="A813" s="547">
        <v>7</v>
      </c>
      <c r="B813" s="28">
        <v>105</v>
      </c>
      <c r="C813" s="50">
        <v>28.649</v>
      </c>
      <c r="D813" s="198">
        <v>2</v>
      </c>
      <c r="E813" s="198">
        <v>2</v>
      </c>
      <c r="F813" s="199">
        <v>1</v>
      </c>
      <c r="G813" s="198">
        <v>1</v>
      </c>
    </row>
    <row r="814" spans="1:7" ht="12.75">
      <c r="A814" s="547">
        <v>8</v>
      </c>
      <c r="B814" s="28">
        <v>105</v>
      </c>
      <c r="C814" s="50">
        <v>21.544</v>
      </c>
      <c r="D814" s="198">
        <v>2</v>
      </c>
      <c r="E814" s="198">
        <v>2</v>
      </c>
      <c r="F814" s="199">
        <v>1</v>
      </c>
      <c r="G814" s="198">
        <v>1</v>
      </c>
    </row>
    <row r="815" spans="1:7" ht="12.75">
      <c r="A815" s="547">
        <v>9</v>
      </c>
      <c r="B815" s="28">
        <v>105</v>
      </c>
      <c r="C815" s="50">
        <v>30.043</v>
      </c>
      <c r="D815" s="198">
        <v>2</v>
      </c>
      <c r="E815" s="198">
        <v>2</v>
      </c>
      <c r="F815" s="199">
        <v>1</v>
      </c>
      <c r="G815" s="198">
        <v>1</v>
      </c>
    </row>
    <row r="816" spans="1:7" ht="12.75">
      <c r="A816" s="547">
        <v>10</v>
      </c>
      <c r="B816" s="28">
        <v>105</v>
      </c>
      <c r="C816" s="50">
        <v>23.097</v>
      </c>
      <c r="D816" s="198">
        <v>2</v>
      </c>
      <c r="E816" s="198">
        <v>2</v>
      </c>
      <c r="F816" s="199">
        <v>1</v>
      </c>
      <c r="G816" s="198">
        <v>1</v>
      </c>
    </row>
    <row r="817" spans="1:7" ht="12.75">
      <c r="A817" s="547">
        <v>11</v>
      </c>
      <c r="B817" s="28">
        <v>105</v>
      </c>
      <c r="C817" s="50">
        <v>23.086</v>
      </c>
      <c r="D817" s="198">
        <v>2</v>
      </c>
      <c r="E817" s="198">
        <v>2</v>
      </c>
      <c r="F817" s="199">
        <v>1</v>
      </c>
      <c r="G817" s="198">
        <v>1</v>
      </c>
    </row>
    <row r="818" spans="1:7" ht="12.75">
      <c r="A818" s="548">
        <v>12</v>
      </c>
      <c r="B818" s="30">
        <v>105</v>
      </c>
      <c r="C818" s="55">
        <v>18.207</v>
      </c>
      <c r="D818" s="200">
        <v>2</v>
      </c>
      <c r="E818" s="200">
        <v>2</v>
      </c>
      <c r="F818" s="201">
        <v>1</v>
      </c>
      <c r="G818" s="200">
        <v>1</v>
      </c>
    </row>
    <row r="819" spans="1:9" ht="12.75">
      <c r="A819" s="489" t="s">
        <v>235</v>
      </c>
      <c r="B819" s="24"/>
      <c r="C819" s="37"/>
      <c r="D819" s="191">
        <f>SLOPE($C$759:$C$818,D759:D818)</f>
        <v>2.887841666666668</v>
      </c>
      <c r="E819" s="195">
        <f>SLOPE($C$759:$C$818,E759:E818)</f>
        <v>-5.282755952380952</v>
      </c>
      <c r="F819" s="191">
        <f>SLOPE($C$759:$C$818,F759:F818)</f>
        <v>-0.25684999999999947</v>
      </c>
      <c r="G819" s="223">
        <f>SLOPE($C$759:$C$818,G759:G818)</f>
        <v>0.30532857142857145</v>
      </c>
      <c r="I819" s="240"/>
    </row>
    <row r="820" spans="1:7" ht="12.75">
      <c r="A820" s="498" t="s">
        <v>236</v>
      </c>
      <c r="B820" s="6"/>
      <c r="C820" s="28"/>
      <c r="D820" s="215">
        <f>RSQ($C$759:$C$818,D759:D818)</f>
        <v>0.15253579789134092</v>
      </c>
      <c r="E820" s="213">
        <f>RSQ($C$759:$C$818,E759:E818)</f>
        <v>0.7146183328088973</v>
      </c>
      <c r="F820" s="215">
        <f>RSQ($C$759:$C$818,F759:F818)</f>
        <v>0.0012066579033199068</v>
      </c>
      <c r="G820" s="214">
        <f>RSQ($C$759:$C$818,G759:G818)</f>
        <v>0.011935976446969802</v>
      </c>
    </row>
    <row r="821" spans="1:7" ht="12.75">
      <c r="A821" s="293" t="s">
        <v>308</v>
      </c>
      <c r="B821" s="6"/>
      <c r="C821" s="220">
        <f>VAR(C759:C818)*(COUNT(C759:C818)-1)</f>
        <v>6560.791321399993</v>
      </c>
      <c r="D821" s="290">
        <f>D820*$C$821</f>
        <v>1000.7555390083328</v>
      </c>
      <c r="E821" s="291">
        <f>E820*$C$821</f>
        <v>4688.461756005945</v>
      </c>
      <c r="F821" s="292">
        <f>F820*$C$821</f>
        <v>7.916630699999956</v>
      </c>
      <c r="G821" s="246">
        <f>G820*$C$821</f>
        <v>78.3094506857142</v>
      </c>
    </row>
    <row r="822" spans="1:7" ht="12.75">
      <c r="A822" s="498" t="s">
        <v>243</v>
      </c>
      <c r="B822" s="6"/>
      <c r="C822" s="216">
        <v>0.05</v>
      </c>
      <c r="D822" s="215"/>
      <c r="E822" s="213"/>
      <c r="F822" s="215"/>
      <c r="G822" s="214"/>
    </row>
    <row r="823" spans="1:7" ht="12.75">
      <c r="A823" s="499" t="s">
        <v>242</v>
      </c>
      <c r="B823" s="10"/>
      <c r="C823" s="11">
        <f>AVERAGE(C759:C818)</f>
        <v>27.82410000000001</v>
      </c>
      <c r="D823" s="82">
        <f>IF(F830&lt;=C822,D819,0)</f>
        <v>2.887841666666668</v>
      </c>
      <c r="E823" s="52">
        <f>IF(F831&lt;=C822,E819,0)</f>
        <v>-5.282755952380952</v>
      </c>
      <c r="F823" s="82">
        <f>IF(F832&lt;=C822,F819,0)</f>
        <v>0</v>
      </c>
      <c r="G823" s="83">
        <f>IF(F833&lt;=C822,G819,0)</f>
        <v>0.30532857142857145</v>
      </c>
    </row>
    <row r="825" ht="12.75">
      <c r="A825" s="64" t="s">
        <v>309</v>
      </c>
    </row>
    <row r="826" spans="1:8" ht="12.75">
      <c r="A826" s="525" t="s">
        <v>143</v>
      </c>
      <c r="B826" s="514" t="s">
        <v>114</v>
      </c>
      <c r="C826" s="511" t="s">
        <v>113</v>
      </c>
      <c r="D826" s="514" t="s">
        <v>227</v>
      </c>
      <c r="E826" s="511" t="s">
        <v>145</v>
      </c>
      <c r="F826" s="514" t="s">
        <v>146</v>
      </c>
      <c r="G826" s="629" t="s">
        <v>124</v>
      </c>
      <c r="H826" s="630"/>
    </row>
    <row r="827" spans="1:8" ht="13.5" thickBot="1">
      <c r="A827" s="527" t="s">
        <v>148</v>
      </c>
      <c r="B827" s="517" t="s">
        <v>117</v>
      </c>
      <c r="C827" s="519" t="s">
        <v>116</v>
      </c>
      <c r="D827" s="517" t="s">
        <v>228</v>
      </c>
      <c r="E827" s="519" t="s">
        <v>121</v>
      </c>
      <c r="F827" s="517" t="s">
        <v>151</v>
      </c>
      <c r="G827" s="517">
        <v>0.05</v>
      </c>
      <c r="H827" s="518">
        <v>0.01</v>
      </c>
    </row>
    <row r="828" spans="1:8" ht="13.5" thickTop="1">
      <c r="A828" s="498" t="s">
        <v>50</v>
      </c>
      <c r="B828" s="26">
        <f>COUNT(C759:C818)-1</f>
        <v>59</v>
      </c>
      <c r="C828" s="219">
        <f>VAR(C759:C818)*B828</f>
        <v>6560.791321399993</v>
      </c>
      <c r="D828" s="220"/>
      <c r="E828" s="6"/>
      <c r="F828" s="28"/>
      <c r="G828" s="28"/>
      <c r="H828" s="38"/>
    </row>
    <row r="829" spans="1:8" ht="12.75">
      <c r="A829" s="498" t="s">
        <v>237</v>
      </c>
      <c r="B829" s="28"/>
      <c r="C829" s="219"/>
      <c r="D829" s="220"/>
      <c r="E829" s="6"/>
      <c r="F829" s="28"/>
      <c r="G829" s="28"/>
      <c r="H829" s="38"/>
    </row>
    <row r="830" spans="1:8" ht="12.75">
      <c r="A830" s="498" t="s">
        <v>238</v>
      </c>
      <c r="B830" s="28">
        <v>1</v>
      </c>
      <c r="C830" s="242">
        <f>D821</f>
        <v>1000.7555390083328</v>
      </c>
      <c r="D830" s="220">
        <f aca="true" t="shared" si="19" ref="D830:D835">C830/B830</f>
        <v>1000.7555390083328</v>
      </c>
      <c r="E830" s="48">
        <f>D830/$D$835</f>
        <v>70.0855652528106</v>
      </c>
      <c r="F830" s="217">
        <f>FDIST(E830,B830,$B$835)</f>
        <v>2.1704856973512057E-11</v>
      </c>
      <c r="G830" s="39">
        <f>FINV(0.05,$B830,$B$835)</f>
        <v>4.0161954376707065</v>
      </c>
      <c r="H830" s="80">
        <f>FINV(0.01,$B830,$B$835)</f>
        <v>7.119376494974379</v>
      </c>
    </row>
    <row r="831" spans="1:8" ht="12.75">
      <c r="A831" s="498" t="s">
        <v>239</v>
      </c>
      <c r="B831" s="28">
        <v>1</v>
      </c>
      <c r="C831" s="243">
        <f>E821</f>
        <v>4688.461756005945</v>
      </c>
      <c r="D831" s="220">
        <f t="shared" si="19"/>
        <v>4688.461756005945</v>
      </c>
      <c r="E831" s="48">
        <f>D831/$D$835</f>
        <v>328.3454145669491</v>
      </c>
      <c r="F831" s="217">
        <f>FDIST(E831,B831,$B$835)</f>
        <v>7.471167767882088E-25</v>
      </c>
      <c r="G831" s="218" t="s">
        <v>244</v>
      </c>
      <c r="H831" s="218" t="s">
        <v>244</v>
      </c>
    </row>
    <row r="832" spans="1:8" ht="12.75">
      <c r="A832" s="498" t="s">
        <v>240</v>
      </c>
      <c r="B832" s="28">
        <v>1</v>
      </c>
      <c r="C832" s="244">
        <f>F821</f>
        <v>7.916630699999956</v>
      </c>
      <c r="D832" s="220">
        <f t="shared" si="19"/>
        <v>7.916630699999956</v>
      </c>
      <c r="E832" s="48">
        <f>D832/$D$835</f>
        <v>0.5544226495683985</v>
      </c>
      <c r="F832" s="217">
        <f>FDIST(E832,B832,$B$835)</f>
        <v>0.4596860051589843</v>
      </c>
      <c r="G832" s="218" t="s">
        <v>244</v>
      </c>
      <c r="H832" s="218" t="s">
        <v>244</v>
      </c>
    </row>
    <row r="833" spans="1:8" ht="12.75">
      <c r="A833" s="498" t="s">
        <v>241</v>
      </c>
      <c r="B833" s="28">
        <v>1</v>
      </c>
      <c r="C833" s="245">
        <f>G821</f>
        <v>78.3094506857142</v>
      </c>
      <c r="D833" s="220">
        <f t="shared" si="19"/>
        <v>78.3094506857142</v>
      </c>
      <c r="E833" s="48">
        <f>D833/$D$835</f>
        <v>5.4842185748818295</v>
      </c>
      <c r="F833" s="217">
        <f>FDIST(E833,B833,$B$835)</f>
        <v>0.02283805660840358</v>
      </c>
      <c r="G833" s="218" t="s">
        <v>244</v>
      </c>
      <c r="H833" s="218" t="s">
        <v>244</v>
      </c>
    </row>
    <row r="834" spans="1:8" ht="12.75">
      <c r="A834" s="498" t="s">
        <v>307</v>
      </c>
      <c r="B834" s="26">
        <f>SUM(B830:B833)</f>
        <v>4</v>
      </c>
      <c r="C834" s="246">
        <f>SUM(C830:C833)</f>
        <v>5775.443376399991</v>
      </c>
      <c r="D834" s="220">
        <f t="shared" si="19"/>
        <v>1443.8608440999978</v>
      </c>
      <c r="E834" s="6">
        <f>D834/B835</f>
        <v>26.25201534727269</v>
      </c>
      <c r="F834" s="217">
        <f>FDIST(E834,B834,$B$835)</f>
        <v>3.3566596410646465E-12</v>
      </c>
      <c r="G834" s="39">
        <f>FINV(0.05,$B834,$B$835)</f>
        <v>2.5396886349670442</v>
      </c>
      <c r="H834" s="80">
        <f>FINV(0.01,$B834,$B$835)</f>
        <v>3.68089669539299</v>
      </c>
    </row>
    <row r="835" spans="1:8" ht="12.75">
      <c r="A835" s="499" t="s">
        <v>57</v>
      </c>
      <c r="B835" s="241">
        <f>B828-SUM(B830:B833)</f>
        <v>55</v>
      </c>
      <c r="C835" s="221">
        <f>C828-SUM(C830:C833)</f>
        <v>785.3479450000013</v>
      </c>
      <c r="D835" s="222">
        <f t="shared" si="19"/>
        <v>14.27905354545457</v>
      </c>
      <c r="E835" s="10"/>
      <c r="F835" s="30"/>
      <c r="G835" s="30"/>
      <c r="H835" s="54"/>
    </row>
    <row r="836" ht="12.75">
      <c r="C836" s="213"/>
    </row>
    <row r="838" ht="12.75">
      <c r="A838" s="64" t="s">
        <v>310</v>
      </c>
    </row>
    <row r="839" spans="1:5" ht="13.5" thickBot="1">
      <c r="A839" s="549" t="s">
        <v>138</v>
      </c>
      <c r="B839" s="550" t="s">
        <v>312</v>
      </c>
      <c r="C839" s="297"/>
      <c r="D839" s="296"/>
      <c r="E839" s="298"/>
    </row>
    <row r="840" spans="1:5" ht="12.75">
      <c r="A840" s="294">
        <f>C$823</f>
        <v>27.82410000000001</v>
      </c>
      <c r="B840" s="11">
        <f>D$823</f>
        <v>2.887841666666668</v>
      </c>
      <c r="C840" s="43"/>
      <c r="D840" s="11"/>
      <c r="E840" s="44"/>
    </row>
    <row r="841" spans="1:7" ht="12.75">
      <c r="A841" s="523" t="s">
        <v>234</v>
      </c>
      <c r="B841" s="490" t="s">
        <v>229</v>
      </c>
      <c r="C841" s="490" t="s">
        <v>230</v>
      </c>
      <c r="D841" s="537" t="s">
        <v>231</v>
      </c>
      <c r="E841" s="551" t="s">
        <v>232</v>
      </c>
      <c r="F841" s="627" t="s">
        <v>245</v>
      </c>
      <c r="G841" s="628"/>
    </row>
    <row r="842" spans="1:7" ht="13.5" thickBot="1">
      <c r="A842" s="538" t="s">
        <v>233</v>
      </c>
      <c r="B842" s="539" t="s">
        <v>53</v>
      </c>
      <c r="C842" s="539" t="s">
        <v>54</v>
      </c>
      <c r="D842" s="540" t="s">
        <v>55</v>
      </c>
      <c r="E842" s="539" t="s">
        <v>56</v>
      </c>
      <c r="F842" s="539" t="s">
        <v>246</v>
      </c>
      <c r="G842" s="179" t="s">
        <v>247</v>
      </c>
    </row>
    <row r="843" spans="1:9" ht="13.5" thickTop="1">
      <c r="A843" s="542">
        <v>45</v>
      </c>
      <c r="B843" s="204">
        <v>-2</v>
      </c>
      <c r="C843" s="204"/>
      <c r="D843" s="203"/>
      <c r="E843" s="204"/>
      <c r="F843" s="224">
        <f>$A$840+$B$840*B843</f>
        <v>22.04841666666667</v>
      </c>
      <c r="G843" s="229">
        <f>ROUND((10000*F843*4)/A843,0.5)</f>
        <v>19599</v>
      </c>
      <c r="I843" s="61"/>
    </row>
    <row r="844" spans="1:9" ht="12.75">
      <c r="A844" s="542">
        <v>60</v>
      </c>
      <c r="B844" s="204">
        <v>-1</v>
      </c>
      <c r="C844" s="204"/>
      <c r="D844" s="203"/>
      <c r="E844" s="204"/>
      <c r="F844" s="224">
        <f>$A$840+$B$840*B844</f>
        <v>24.936258333333342</v>
      </c>
      <c r="G844" s="229">
        <f>ROUND((10000*F844*4)/A844,0.5)</f>
        <v>16624</v>
      </c>
      <c r="I844" s="61"/>
    </row>
    <row r="845" spans="1:9" ht="12.75">
      <c r="A845" s="542">
        <v>75</v>
      </c>
      <c r="B845" s="204">
        <v>0</v>
      </c>
      <c r="C845" s="204"/>
      <c r="D845" s="203"/>
      <c r="E845" s="204"/>
      <c r="F845" s="224">
        <f>$A$840+$B$840*B845</f>
        <v>27.82410000000001</v>
      </c>
      <c r="G845" s="229">
        <f>ROUND((10000*F845*4)/A845,0.5)</f>
        <v>14840</v>
      </c>
      <c r="I845" s="61"/>
    </row>
    <row r="846" spans="1:9" ht="12.75">
      <c r="A846" s="542">
        <f>A845+15</f>
        <v>90</v>
      </c>
      <c r="B846" s="204">
        <v>1</v>
      </c>
      <c r="C846" s="204"/>
      <c r="D846" s="203"/>
      <c r="E846" s="204"/>
      <c r="F846" s="224">
        <f>$A$840+$B$840*B846</f>
        <v>30.711941666666675</v>
      </c>
      <c r="G846" s="229">
        <f>ROUND((10000*F846*4)/A846,0.5)</f>
        <v>13650</v>
      </c>
      <c r="I846" s="61"/>
    </row>
    <row r="847" spans="1:9" ht="13.5" thickBot="1">
      <c r="A847" s="552">
        <f>A846+15</f>
        <v>105</v>
      </c>
      <c r="B847" s="232">
        <v>2</v>
      </c>
      <c r="C847" s="232"/>
      <c r="D847" s="233"/>
      <c r="E847" s="232"/>
      <c r="F847" s="234">
        <f>$A$840+$B$840*B847</f>
        <v>33.59978333333334</v>
      </c>
      <c r="G847" s="235">
        <f>ROUND((10000*F847*4)/A847,0.5)</f>
        <v>12800</v>
      </c>
      <c r="I847" s="61"/>
    </row>
    <row r="870" ht="12.75">
      <c r="A870" s="64" t="s">
        <v>311</v>
      </c>
    </row>
    <row r="871" spans="1:5" ht="13.5" thickBot="1">
      <c r="A871" s="549" t="s">
        <v>138</v>
      </c>
      <c r="B871" s="550"/>
      <c r="C871" s="553" t="s">
        <v>313</v>
      </c>
      <c r="D871" s="296"/>
      <c r="E871" s="298"/>
    </row>
    <row r="872" spans="1:5" ht="12.75">
      <c r="A872" s="294">
        <f>$C$823</f>
        <v>27.82410000000001</v>
      </c>
      <c r="B872" s="11"/>
      <c r="C872" s="43">
        <f>E823</f>
        <v>-5.282755952380952</v>
      </c>
      <c r="D872" s="11"/>
      <c r="E872" s="44"/>
    </row>
    <row r="873" spans="1:7" ht="12.75">
      <c r="A873" s="523" t="s">
        <v>234</v>
      </c>
      <c r="B873" s="490" t="s">
        <v>229</v>
      </c>
      <c r="C873" s="490" t="s">
        <v>230</v>
      </c>
      <c r="D873" s="537" t="s">
        <v>231</v>
      </c>
      <c r="E873" s="551" t="s">
        <v>232</v>
      </c>
      <c r="F873" s="631" t="s">
        <v>245</v>
      </c>
      <c r="G873" s="628"/>
    </row>
    <row r="874" spans="1:7" ht="13.5" thickBot="1">
      <c r="A874" s="538" t="s">
        <v>233</v>
      </c>
      <c r="B874" s="539" t="s">
        <v>53</v>
      </c>
      <c r="C874" s="539" t="s">
        <v>54</v>
      </c>
      <c r="D874" s="540" t="s">
        <v>55</v>
      </c>
      <c r="E874" s="538" t="s">
        <v>56</v>
      </c>
      <c r="F874" s="179" t="s">
        <v>246</v>
      </c>
      <c r="G874" s="181" t="s">
        <v>247</v>
      </c>
    </row>
    <row r="875" spans="1:7" ht="13.5" thickTop="1">
      <c r="A875" s="542">
        <v>45</v>
      </c>
      <c r="B875" s="204"/>
      <c r="C875" s="204">
        <v>2</v>
      </c>
      <c r="D875" s="203"/>
      <c r="E875" s="202"/>
      <c r="F875" s="224">
        <f>$A$872+$C$872*C875</f>
        <v>17.258588095238103</v>
      </c>
      <c r="G875" s="236">
        <f>ROUND((10000*F875*4)/A875,0.5)</f>
        <v>15341</v>
      </c>
    </row>
    <row r="876" spans="1:7" ht="12.75">
      <c r="A876" s="542">
        <v>60</v>
      </c>
      <c r="B876" s="204"/>
      <c r="C876" s="204">
        <v>-1</v>
      </c>
      <c r="D876" s="203"/>
      <c r="E876" s="202"/>
      <c r="F876" s="224">
        <f>$A$872+$C$872*C876</f>
        <v>33.10685595238096</v>
      </c>
      <c r="G876" s="236">
        <f>ROUND((10000*F876*4)/A876,0.5)</f>
        <v>22071</v>
      </c>
    </row>
    <row r="877" spans="1:7" ht="12.75">
      <c r="A877" s="542">
        <v>75</v>
      </c>
      <c r="B877" s="204"/>
      <c r="C877" s="204">
        <v>-2</v>
      </c>
      <c r="D877" s="203"/>
      <c r="E877" s="202"/>
      <c r="F877" s="224">
        <f>$A$872+$C$872*C877</f>
        <v>38.389611904761914</v>
      </c>
      <c r="G877" s="236">
        <f>ROUND((10000*F877*4)/A877,0.5)</f>
        <v>20474</v>
      </c>
    </row>
    <row r="878" spans="1:7" ht="12.75">
      <c r="A878" s="542">
        <f>A877+15</f>
        <v>90</v>
      </c>
      <c r="B878" s="204"/>
      <c r="C878" s="204">
        <v>-1</v>
      </c>
      <c r="D878" s="203"/>
      <c r="E878" s="202"/>
      <c r="F878" s="224">
        <f>$A$872+$C$872*C878</f>
        <v>33.10685595238096</v>
      </c>
      <c r="G878" s="236">
        <f>ROUND((10000*F878*4)/A878,0.5)</f>
        <v>14714</v>
      </c>
    </row>
    <row r="879" spans="1:7" ht="13.5" thickBot="1">
      <c r="A879" s="552">
        <f>A878+15</f>
        <v>105</v>
      </c>
      <c r="B879" s="232"/>
      <c r="C879" s="232">
        <v>2</v>
      </c>
      <c r="D879" s="233"/>
      <c r="E879" s="231"/>
      <c r="F879" s="234">
        <f>$A$872+$C$872*C879</f>
        <v>17.258588095238103</v>
      </c>
      <c r="G879" s="239">
        <f>ROUND((10000*F879*4)/A879,0.5)</f>
        <v>6575</v>
      </c>
    </row>
    <row r="899" ht="12.75">
      <c r="A899" s="64" t="s">
        <v>315</v>
      </c>
    </row>
    <row r="900" spans="1:5" ht="13.5" thickBot="1">
      <c r="A900" s="549" t="s">
        <v>138</v>
      </c>
      <c r="B900" s="550"/>
      <c r="C900" s="553"/>
      <c r="D900" s="550" t="s">
        <v>314</v>
      </c>
      <c r="E900" s="298"/>
    </row>
    <row r="901" spans="1:5" ht="12.75">
      <c r="A901" s="294">
        <f>$C$823</f>
        <v>27.82410000000001</v>
      </c>
      <c r="B901" s="11"/>
      <c r="C901" s="43"/>
      <c r="D901" s="11">
        <f>F819</f>
        <v>-0.25684999999999947</v>
      </c>
      <c r="E901" s="44"/>
    </row>
    <row r="902" spans="1:7" ht="12.75">
      <c r="A902" s="523" t="s">
        <v>234</v>
      </c>
      <c r="B902" s="490" t="s">
        <v>229</v>
      </c>
      <c r="C902" s="490" t="s">
        <v>230</v>
      </c>
      <c r="D902" s="537" t="s">
        <v>231</v>
      </c>
      <c r="E902" s="551" t="s">
        <v>232</v>
      </c>
      <c r="F902" s="627" t="s">
        <v>245</v>
      </c>
      <c r="G902" s="628"/>
    </row>
    <row r="903" spans="1:7" ht="13.5" thickBot="1">
      <c r="A903" s="538" t="s">
        <v>233</v>
      </c>
      <c r="B903" s="539" t="s">
        <v>53</v>
      </c>
      <c r="C903" s="539" t="s">
        <v>54</v>
      </c>
      <c r="D903" s="540" t="s">
        <v>55</v>
      </c>
      <c r="E903" s="538" t="s">
        <v>56</v>
      </c>
      <c r="F903" s="179" t="s">
        <v>246</v>
      </c>
      <c r="G903" s="181" t="s">
        <v>247</v>
      </c>
    </row>
    <row r="904" spans="1:8" ht="13.5" thickTop="1">
      <c r="A904" s="542">
        <v>45</v>
      </c>
      <c r="B904" s="204"/>
      <c r="C904" s="204"/>
      <c r="D904" s="203">
        <v>-1</v>
      </c>
      <c r="E904" s="202"/>
      <c r="F904" s="224">
        <f>$A$901+$D$901*D904</f>
        <v>28.08095000000001</v>
      </c>
      <c r="G904" s="236">
        <f>(10000*F904*4)/A904</f>
        <v>24960.84444444445</v>
      </c>
      <c r="H904" s="435">
        <f>(F904*40000)/A904</f>
        <v>24960.84444444445</v>
      </c>
    </row>
    <row r="905" spans="1:8" ht="12.75">
      <c r="A905" s="542">
        <v>60</v>
      </c>
      <c r="B905" s="204"/>
      <c r="C905" s="204"/>
      <c r="D905" s="203">
        <v>2</v>
      </c>
      <c r="E905" s="202"/>
      <c r="F905" s="224">
        <f>$A$901+$D$901*D905</f>
        <v>27.31040000000001</v>
      </c>
      <c r="G905" s="236">
        <f>(10000*F905*4)/A905</f>
        <v>18206.933333333338</v>
      </c>
      <c r="H905" s="435">
        <f>(F905*40000)/A905</f>
        <v>18206.933333333338</v>
      </c>
    </row>
    <row r="906" spans="1:8" ht="12.75">
      <c r="A906" s="542">
        <v>75</v>
      </c>
      <c r="B906" s="204"/>
      <c r="C906" s="204"/>
      <c r="D906" s="203">
        <v>0</v>
      </c>
      <c r="E906" s="202"/>
      <c r="F906" s="224">
        <f>$A$901+$D$901*D906</f>
        <v>27.82410000000001</v>
      </c>
      <c r="G906" s="236">
        <f>(10000*F906*4)/A906</f>
        <v>14839.520000000002</v>
      </c>
      <c r="H906" s="435">
        <f>(F906*40000)/A906</f>
        <v>14839.520000000002</v>
      </c>
    </row>
    <row r="907" spans="1:8" ht="12.75">
      <c r="A907" s="542">
        <f>A906+15</f>
        <v>90</v>
      </c>
      <c r="B907" s="204"/>
      <c r="C907" s="204"/>
      <c r="D907" s="203">
        <v>-2</v>
      </c>
      <c r="E907" s="202"/>
      <c r="F907" s="224">
        <f>$A$901+$D$901*D907</f>
        <v>28.33780000000001</v>
      </c>
      <c r="G907" s="236">
        <f>(10000*F907*4)/A907</f>
        <v>12594.57777777778</v>
      </c>
      <c r="H907" s="435">
        <f>(F907*40000)/A907</f>
        <v>12594.57777777778</v>
      </c>
    </row>
    <row r="908" spans="1:8" ht="12.75">
      <c r="A908" s="543">
        <f>A907+15</f>
        <v>105</v>
      </c>
      <c r="B908" s="208"/>
      <c r="C908" s="208"/>
      <c r="D908" s="205">
        <v>1</v>
      </c>
      <c r="E908" s="212"/>
      <c r="F908" s="225">
        <f>$A$901+$D$901*D908</f>
        <v>27.56725000000001</v>
      </c>
      <c r="G908" s="237">
        <f>(10000*F908*4)/A908</f>
        <v>10501.809523809527</v>
      </c>
      <c r="H908" s="435">
        <f>(F908*40000)/A908</f>
        <v>10501.809523809527</v>
      </c>
    </row>
    <row r="932" ht="12.75">
      <c r="A932" s="64" t="s">
        <v>317</v>
      </c>
    </row>
    <row r="933" spans="1:5" ht="13.5" thickBot="1">
      <c r="A933" s="549" t="s">
        <v>138</v>
      </c>
      <c r="B933" s="550"/>
      <c r="C933" s="553"/>
      <c r="D933" s="550"/>
      <c r="E933" s="554" t="s">
        <v>316</v>
      </c>
    </row>
    <row r="934" spans="1:5" ht="12.75">
      <c r="A934" s="294">
        <f>$C$823</f>
        <v>27.82410000000001</v>
      </c>
      <c r="B934" s="11"/>
      <c r="C934" s="43"/>
      <c r="D934" s="11"/>
      <c r="E934" s="44">
        <f>G819</f>
        <v>0.30532857142857145</v>
      </c>
    </row>
    <row r="935" spans="1:7" ht="12.75">
      <c r="A935" s="523" t="s">
        <v>234</v>
      </c>
      <c r="B935" s="490" t="s">
        <v>229</v>
      </c>
      <c r="C935" s="490" t="s">
        <v>230</v>
      </c>
      <c r="D935" s="537" t="s">
        <v>231</v>
      </c>
      <c r="E935" s="551" t="s">
        <v>232</v>
      </c>
      <c r="F935" s="627" t="s">
        <v>245</v>
      </c>
      <c r="G935" s="628"/>
    </row>
    <row r="936" spans="1:7" ht="13.5" thickBot="1">
      <c r="A936" s="538" t="s">
        <v>233</v>
      </c>
      <c r="B936" s="539" t="s">
        <v>53</v>
      </c>
      <c r="C936" s="539" t="s">
        <v>54</v>
      </c>
      <c r="D936" s="540" t="s">
        <v>55</v>
      </c>
      <c r="E936" s="538" t="s">
        <v>56</v>
      </c>
      <c r="F936" s="179" t="s">
        <v>246</v>
      </c>
      <c r="G936" s="181" t="s">
        <v>247</v>
      </c>
    </row>
    <row r="937" spans="1:7" ht="13.5" thickTop="1">
      <c r="A937" s="542">
        <v>45</v>
      </c>
      <c r="B937" s="204"/>
      <c r="C937" s="204"/>
      <c r="D937" s="203"/>
      <c r="E937" s="204">
        <v>1</v>
      </c>
      <c r="F937" s="224">
        <f>$A$934+$E$934*E937</f>
        <v>28.12942857142858</v>
      </c>
      <c r="G937" s="236">
        <f>ROUND((10000*F937*4)/A937,0.5)</f>
        <v>25004</v>
      </c>
    </row>
    <row r="938" spans="1:7" ht="12.75">
      <c r="A938" s="542">
        <v>60</v>
      </c>
      <c r="B938" s="204"/>
      <c r="C938" s="204"/>
      <c r="D938" s="203"/>
      <c r="E938" s="204">
        <v>-4</v>
      </c>
      <c r="F938" s="224">
        <f>$A$934+$E$934*E938</f>
        <v>26.602785714285723</v>
      </c>
      <c r="G938" s="236">
        <f>ROUND((10000*F938*4)/A938,0.5)</f>
        <v>17735</v>
      </c>
    </row>
    <row r="939" spans="1:7" ht="12.75">
      <c r="A939" s="542">
        <v>75</v>
      </c>
      <c r="B939" s="204"/>
      <c r="C939" s="204"/>
      <c r="D939" s="203"/>
      <c r="E939" s="204">
        <v>6</v>
      </c>
      <c r="F939" s="224">
        <f>$A$934+$E$934*E939</f>
        <v>29.656071428571437</v>
      </c>
      <c r="G939" s="236">
        <f>ROUND((10000*F939*4)/A939,0.5)</f>
        <v>15817</v>
      </c>
    </row>
    <row r="940" spans="1:7" ht="12.75">
      <c r="A940" s="542">
        <f>A939+15</f>
        <v>90</v>
      </c>
      <c r="B940" s="204"/>
      <c r="C940" s="204"/>
      <c r="D940" s="203"/>
      <c r="E940" s="204">
        <v>-4</v>
      </c>
      <c r="F940" s="224">
        <f>$A$934+$E$934*E940</f>
        <v>26.602785714285723</v>
      </c>
      <c r="G940" s="236">
        <f>ROUND((10000*F940*4)/A940,0.5)</f>
        <v>11823</v>
      </c>
    </row>
    <row r="941" spans="1:7" ht="12.75">
      <c r="A941" s="543">
        <f>A940+15</f>
        <v>105</v>
      </c>
      <c r="B941" s="208"/>
      <c r="C941" s="208"/>
      <c r="D941" s="205"/>
      <c r="E941" s="208">
        <v>1</v>
      </c>
      <c r="F941" s="225">
        <f>$A$934+$E$934*E941</f>
        <v>28.12942857142858</v>
      </c>
      <c r="G941" s="237">
        <f>ROUND((10000*F941*4)/A941,0.5)</f>
        <v>10716</v>
      </c>
    </row>
    <row r="964" spans="1:3" ht="12.75">
      <c r="A964" s="64" t="s">
        <v>318</v>
      </c>
      <c r="C964" s="213"/>
    </row>
    <row r="965" spans="1:5" ht="13.5" thickBot="1">
      <c r="A965" s="549" t="s">
        <v>138</v>
      </c>
      <c r="B965" s="550" t="s">
        <v>312</v>
      </c>
      <c r="C965" s="553" t="s">
        <v>313</v>
      </c>
      <c r="D965" s="550" t="s">
        <v>314</v>
      </c>
      <c r="E965" s="554" t="s">
        <v>316</v>
      </c>
    </row>
    <row r="966" spans="1:5" ht="12.75">
      <c r="A966" s="294">
        <f>C823</f>
        <v>27.82410000000001</v>
      </c>
      <c r="B966" s="11">
        <f>D823</f>
        <v>2.887841666666668</v>
      </c>
      <c r="C966" s="43">
        <f>E823</f>
        <v>-5.282755952380952</v>
      </c>
      <c r="D966" s="11">
        <f>F823</f>
        <v>0</v>
      </c>
      <c r="E966" s="44">
        <f>G823</f>
        <v>0.30532857142857145</v>
      </c>
    </row>
    <row r="967" spans="1:7" ht="12.75">
      <c r="A967" s="523" t="s">
        <v>234</v>
      </c>
      <c r="B967" s="490" t="s">
        <v>229</v>
      </c>
      <c r="C967" s="490" t="s">
        <v>230</v>
      </c>
      <c r="D967" s="537" t="s">
        <v>231</v>
      </c>
      <c r="E967" s="551" t="s">
        <v>232</v>
      </c>
      <c r="F967" s="627" t="s">
        <v>245</v>
      </c>
      <c r="G967" s="628"/>
    </row>
    <row r="968" spans="1:7" ht="13.5" thickBot="1">
      <c r="A968" s="538" t="s">
        <v>233</v>
      </c>
      <c r="B968" s="539" t="s">
        <v>53</v>
      </c>
      <c r="C968" s="539" t="s">
        <v>54</v>
      </c>
      <c r="D968" s="540" t="s">
        <v>55</v>
      </c>
      <c r="E968" s="539" t="s">
        <v>56</v>
      </c>
      <c r="F968" s="539" t="s">
        <v>246</v>
      </c>
      <c r="G968" s="179" t="s">
        <v>247</v>
      </c>
    </row>
    <row r="969" spans="1:7" ht="13.5" thickTop="1">
      <c r="A969" s="542">
        <v>45</v>
      </c>
      <c r="B969" s="204">
        <v>-2</v>
      </c>
      <c r="C969" s="204">
        <v>2</v>
      </c>
      <c r="D969" s="203">
        <v>-1</v>
      </c>
      <c r="E969" s="204">
        <v>1</v>
      </c>
      <c r="F969" s="224">
        <f>$A$966+$B$966*B969+$C$966*C969+$D$966*D969+$E$966*E969</f>
        <v>11.78823333333334</v>
      </c>
      <c r="G969" s="249">
        <f>ROUND((10000*F969*4)/A969,0.5)</f>
        <v>10478</v>
      </c>
    </row>
    <row r="970" spans="1:7" ht="12.75">
      <c r="A970" s="542">
        <v>60</v>
      </c>
      <c r="B970" s="204">
        <v>-1</v>
      </c>
      <c r="C970" s="204">
        <v>-1</v>
      </c>
      <c r="D970" s="203">
        <v>2</v>
      </c>
      <c r="E970" s="204">
        <v>-4</v>
      </c>
      <c r="F970" s="224">
        <f>$A$966+$B$966*B970+$C$966*C970+$D$966*D970+$E$966*E970</f>
        <v>28.99770000000001</v>
      </c>
      <c r="G970" s="249">
        <f>ROUND((10000*F970*4)/A970,0.5)</f>
        <v>19332</v>
      </c>
    </row>
    <row r="971" spans="1:7" ht="12.75">
      <c r="A971" s="542">
        <v>75</v>
      </c>
      <c r="B971" s="204">
        <v>0</v>
      </c>
      <c r="C971" s="204">
        <v>-2</v>
      </c>
      <c r="D971" s="203">
        <v>0</v>
      </c>
      <c r="E971" s="204">
        <v>6</v>
      </c>
      <c r="F971" s="224">
        <f>$A$966+$B$966*B971+$C$966*C971+$D$966*D971+$E$966*E971</f>
        <v>40.22158333333334</v>
      </c>
      <c r="G971" s="249">
        <f>ROUND((10000*F971*4)/A971,0.5)</f>
        <v>21452</v>
      </c>
    </row>
    <row r="972" spans="1:7" ht="12.75">
      <c r="A972" s="542">
        <f>A971+15</f>
        <v>90</v>
      </c>
      <c r="B972" s="204">
        <v>1</v>
      </c>
      <c r="C972" s="204">
        <v>-1</v>
      </c>
      <c r="D972" s="203">
        <v>-2</v>
      </c>
      <c r="E972" s="204">
        <v>-4</v>
      </c>
      <c r="F972" s="224">
        <f>$A$966+$B$966*B972+$C$966*C972+$D$966*D972+$E$966*E972</f>
        <v>34.77338333333334</v>
      </c>
      <c r="G972" s="249">
        <f>ROUND((10000*F972*4)/A972,0.5)</f>
        <v>15455</v>
      </c>
    </row>
    <row r="973" spans="1:7" ht="12.75">
      <c r="A973" s="543">
        <f>A972+15</f>
        <v>105</v>
      </c>
      <c r="B973" s="208">
        <v>2</v>
      </c>
      <c r="C973" s="208">
        <v>2</v>
      </c>
      <c r="D973" s="205">
        <v>1</v>
      </c>
      <c r="E973" s="208">
        <v>1</v>
      </c>
      <c r="F973" s="225">
        <f>$A$966+$B$966*B973+$C$966*C973+$D$966*D973+$E$966*E973</f>
        <v>23.339600000000008</v>
      </c>
      <c r="G973" s="250">
        <f>ROUND((10000*F973*4)/A973,0.5)</f>
        <v>8891</v>
      </c>
    </row>
    <row r="974" spans="1:7" ht="12.75">
      <c r="A974" s="203"/>
      <c r="B974" s="203"/>
      <c r="C974" s="203"/>
      <c r="D974" s="203"/>
      <c r="E974" s="203"/>
      <c r="F974" s="247"/>
      <c r="G974" s="248"/>
    </row>
    <row r="975" spans="1:7" ht="12.75">
      <c r="A975" s="203"/>
      <c r="B975" s="203"/>
      <c r="C975" s="203"/>
      <c r="D975" s="203"/>
      <c r="E975" s="203"/>
      <c r="F975" s="247"/>
      <c r="G975" s="248"/>
    </row>
    <row r="976" ht="12.75">
      <c r="C976" s="213"/>
    </row>
    <row r="977" spans="3:10" ht="12.75">
      <c r="C977" s="213"/>
      <c r="J977" s="226"/>
    </row>
    <row r="978" spans="3:10" ht="12.75">
      <c r="C978" s="213"/>
      <c r="J978" s="226"/>
    </row>
    <row r="979" spans="3:10" ht="12.75">
      <c r="C979" s="213"/>
      <c r="J979" s="226"/>
    </row>
    <row r="980" spans="3:10" ht="12.75">
      <c r="C980" s="213"/>
      <c r="J980" s="226"/>
    </row>
    <row r="981" spans="3:10" ht="12.75">
      <c r="C981" s="213"/>
      <c r="J981" s="226"/>
    </row>
    <row r="982" ht="12.75">
      <c r="C982" s="213"/>
    </row>
    <row r="983" ht="12.75">
      <c r="C983" s="213"/>
    </row>
    <row r="984" ht="12.75">
      <c r="C984" s="213"/>
    </row>
    <row r="985" ht="12.75">
      <c r="C985" s="213"/>
    </row>
    <row r="986" ht="12.75">
      <c r="C986" s="213"/>
    </row>
    <row r="987" ht="12.75">
      <c r="C987" s="213"/>
    </row>
    <row r="988" ht="12.75">
      <c r="C988" s="213"/>
    </row>
    <row r="989" ht="12.75">
      <c r="C989" s="213"/>
    </row>
    <row r="990" ht="12.75">
      <c r="C990" s="213"/>
    </row>
    <row r="991" ht="12.75">
      <c r="C991" s="213"/>
    </row>
    <row r="992" ht="12.75">
      <c r="C992" s="213"/>
    </row>
    <row r="993" ht="12.75">
      <c r="C993" s="213"/>
    </row>
    <row r="994" ht="12.75">
      <c r="C994" s="213"/>
    </row>
    <row r="995" spans="2:3" ht="12.75">
      <c r="B995" s="64" t="s">
        <v>319</v>
      </c>
      <c r="C995" s="213"/>
    </row>
    <row r="996" ht="12.75">
      <c r="A996" s="64" t="s">
        <v>320</v>
      </c>
    </row>
    <row r="997" spans="1:8" ht="12.75">
      <c r="A997" s="569" t="s">
        <v>215</v>
      </c>
      <c r="B997" s="273"/>
      <c r="C997" s="273"/>
      <c r="D997" s="273"/>
      <c r="E997" s="273"/>
      <c r="F997" s="273"/>
      <c r="G997" s="273"/>
      <c r="H997" s="273"/>
    </row>
    <row r="998" spans="1:8" ht="13.5" thickBot="1">
      <c r="A998" s="569"/>
      <c r="B998" s="273"/>
      <c r="C998" s="273"/>
      <c r="D998" s="273"/>
      <c r="E998" s="273"/>
      <c r="F998" s="273"/>
      <c r="G998" s="273"/>
      <c r="H998" s="273"/>
    </row>
    <row r="999" spans="1:8" ht="12.75">
      <c r="A999" s="570" t="s">
        <v>216</v>
      </c>
      <c r="B999" s="571"/>
      <c r="C999" s="273"/>
      <c r="D999" s="273"/>
      <c r="E999" s="273"/>
      <c r="F999" s="273"/>
      <c r="G999" s="273"/>
      <c r="H999" s="273"/>
    </row>
    <row r="1000" spans="1:8" ht="12.75">
      <c r="A1000" s="532" t="s">
        <v>217</v>
      </c>
      <c r="B1000" s="186">
        <v>0.938241314934771</v>
      </c>
      <c r="C1000" s="273"/>
      <c r="D1000" s="273"/>
      <c r="E1000" s="273"/>
      <c r="F1000" s="273"/>
      <c r="G1000" s="273"/>
      <c r="H1000" s="273"/>
    </row>
    <row r="1001" spans="1:8" ht="12.75">
      <c r="A1001" s="532" t="s">
        <v>218</v>
      </c>
      <c r="B1001" s="186">
        <v>0.8802967650505281</v>
      </c>
      <c r="C1001" s="273"/>
      <c r="D1001" s="273"/>
      <c r="E1001" s="273"/>
      <c r="F1001" s="273"/>
      <c r="G1001" s="273"/>
      <c r="H1001" s="273"/>
    </row>
    <row r="1002" spans="1:8" ht="12.75">
      <c r="A1002" s="532" t="s">
        <v>219</v>
      </c>
      <c r="B1002" s="186">
        <v>0.8715910752360211</v>
      </c>
      <c r="C1002" s="273"/>
      <c r="D1002" s="273"/>
      <c r="E1002" s="273"/>
      <c r="F1002" s="273"/>
      <c r="G1002" s="273"/>
      <c r="H1002" s="273"/>
    </row>
    <row r="1003" spans="1:8" ht="12.75">
      <c r="A1003" s="532" t="s">
        <v>93</v>
      </c>
      <c r="B1003" s="186">
        <v>3.7787634942471</v>
      </c>
      <c r="C1003" s="273"/>
      <c r="D1003" s="273"/>
      <c r="E1003" s="273"/>
      <c r="F1003" s="273"/>
      <c r="G1003" s="273"/>
      <c r="H1003" s="273"/>
    </row>
    <row r="1004" spans="1:8" ht="13.5" thickBot="1">
      <c r="A1004" s="533" t="s">
        <v>178</v>
      </c>
      <c r="B1004" s="184">
        <v>60</v>
      </c>
      <c r="C1004" s="273"/>
      <c r="D1004" s="273"/>
      <c r="E1004" s="273"/>
      <c r="F1004" s="273"/>
      <c r="G1004" s="273"/>
      <c r="H1004" s="273"/>
    </row>
    <row r="1005" spans="1:8" ht="12.75">
      <c r="A1005" s="273"/>
      <c r="B1005" s="273"/>
      <c r="C1005" s="273"/>
      <c r="D1005" s="273"/>
      <c r="E1005" s="273"/>
      <c r="F1005" s="273"/>
      <c r="G1005" s="273"/>
      <c r="H1005" s="273"/>
    </row>
    <row r="1006" spans="1:8" ht="12.75">
      <c r="A1006" s="273" t="s">
        <v>220</v>
      </c>
      <c r="B1006" s="273"/>
      <c r="C1006" s="273"/>
      <c r="D1006" s="273"/>
      <c r="E1006" s="273"/>
      <c r="F1006" s="273"/>
      <c r="G1006" s="273"/>
      <c r="H1006" s="273"/>
    </row>
    <row r="1007" spans="1:8" ht="12.75">
      <c r="A1007" s="572" t="s">
        <v>143</v>
      </c>
      <c r="B1007" s="573" t="s">
        <v>114</v>
      </c>
      <c r="C1007" s="574" t="s">
        <v>113</v>
      </c>
      <c r="D1007" s="573" t="s">
        <v>227</v>
      </c>
      <c r="E1007" s="574" t="s">
        <v>145</v>
      </c>
      <c r="F1007" s="573" t="s">
        <v>146</v>
      </c>
      <c r="G1007" s="634" t="s">
        <v>124</v>
      </c>
      <c r="H1007" s="635"/>
    </row>
    <row r="1008" spans="1:8" ht="13.5" thickBot="1">
      <c r="A1008" s="575" t="s">
        <v>148</v>
      </c>
      <c r="B1008" s="576" t="s">
        <v>117</v>
      </c>
      <c r="C1008" s="577" t="s">
        <v>116</v>
      </c>
      <c r="D1008" s="576" t="s">
        <v>228</v>
      </c>
      <c r="E1008" s="577" t="s">
        <v>121</v>
      </c>
      <c r="F1008" s="576" t="s">
        <v>151</v>
      </c>
      <c r="G1008" s="576">
        <v>0.05</v>
      </c>
      <c r="H1008" s="578">
        <v>0.01</v>
      </c>
    </row>
    <row r="1009" spans="1:8" ht="13.5" thickTop="1">
      <c r="A1009" s="532" t="s">
        <v>154</v>
      </c>
      <c r="B1009" s="183">
        <v>4</v>
      </c>
      <c r="C1009" s="579">
        <v>5775.443376400001</v>
      </c>
      <c r="D1009" s="579">
        <v>1443.8608441000003</v>
      </c>
      <c r="E1009" s="579">
        <v>101.11740526105278</v>
      </c>
      <c r="F1009" s="183">
        <v>1.1206063120013238E-24</v>
      </c>
      <c r="G1009" s="580">
        <f>FINV(0.05,$B$1009,$B$1010)</f>
        <v>2.5396886349670442</v>
      </c>
      <c r="H1009" s="580">
        <f>FINV(0.01,$B$1009,$B$1010)</f>
        <v>3.68089669539299</v>
      </c>
    </row>
    <row r="1010" spans="1:8" ht="12.75">
      <c r="A1010" s="532" t="s">
        <v>221</v>
      </c>
      <c r="B1010" s="183">
        <v>55</v>
      </c>
      <c r="C1010" s="579">
        <v>785.3479450000002</v>
      </c>
      <c r="D1010" s="579">
        <v>14.279053545454548</v>
      </c>
      <c r="E1010" s="579"/>
      <c r="F1010" s="183"/>
      <c r="G1010" s="56"/>
      <c r="H1010" s="56"/>
    </row>
    <row r="1011" spans="1:8" ht="13.5" thickBot="1">
      <c r="A1011" s="533" t="s">
        <v>50</v>
      </c>
      <c r="B1011" s="184">
        <v>59</v>
      </c>
      <c r="C1011" s="581">
        <v>6560.791321400002</v>
      </c>
      <c r="D1011" s="581"/>
      <c r="E1011" s="581"/>
      <c r="F1011" s="184"/>
      <c r="G1011" s="582"/>
      <c r="H1011" s="582"/>
    </row>
    <row r="1012" spans="1:8" ht="13.5" thickBot="1">
      <c r="A1012" s="273"/>
      <c r="B1012" s="273"/>
      <c r="C1012" s="273"/>
      <c r="D1012" s="273"/>
      <c r="E1012" s="273"/>
      <c r="F1012" s="273"/>
      <c r="G1012" s="273"/>
      <c r="H1012" s="273"/>
    </row>
    <row r="1013" spans="1:8" ht="12.75">
      <c r="A1013" s="535"/>
      <c r="B1013" s="535" t="s">
        <v>223</v>
      </c>
      <c r="C1013" s="535" t="s">
        <v>93</v>
      </c>
      <c r="D1013" s="535" t="s">
        <v>224</v>
      </c>
      <c r="E1013" s="535" t="s">
        <v>146</v>
      </c>
      <c r="F1013" s="535" t="s">
        <v>225</v>
      </c>
      <c r="G1013" s="535" t="s">
        <v>226</v>
      </c>
      <c r="H1013" s="273"/>
    </row>
    <row r="1014" spans="1:9" ht="12.75">
      <c r="A1014" s="532" t="s">
        <v>222</v>
      </c>
      <c r="B1014" s="583">
        <v>27.82410000000001</v>
      </c>
      <c r="C1014" s="583">
        <v>0.48783626941585206</v>
      </c>
      <c r="D1014" s="583">
        <v>57.035734619152684</v>
      </c>
      <c r="E1014" s="583">
        <v>1.2733520608569196E-50</v>
      </c>
      <c r="F1014" s="583">
        <v>26.846454509570744</v>
      </c>
      <c r="G1014" s="183">
        <v>28.801745490429273</v>
      </c>
      <c r="H1014" s="584"/>
      <c r="I1014" s="7"/>
    </row>
    <row r="1015" spans="1:9" ht="12.75">
      <c r="A1015" s="532" t="s">
        <v>53</v>
      </c>
      <c r="B1015" s="583">
        <v>2.8878416666666644</v>
      </c>
      <c r="C1015" s="583">
        <v>0.34495233421269655</v>
      </c>
      <c r="D1015" s="583">
        <v>8.371712205565277</v>
      </c>
      <c r="E1015" s="583">
        <v>2.1704856973511737E-11</v>
      </c>
      <c r="F1015" s="583">
        <v>2.196541910787683</v>
      </c>
      <c r="G1015" s="183">
        <v>3.579141422545646</v>
      </c>
      <c r="H1015" s="584"/>
      <c r="I1015" s="7"/>
    </row>
    <row r="1016" spans="1:9" ht="12.75">
      <c r="A1016" s="532" t="s">
        <v>54</v>
      </c>
      <c r="B1016" s="583">
        <v>-5.282755952380954</v>
      </c>
      <c r="C1016" s="583">
        <v>0.29153793293839375</v>
      </c>
      <c r="D1016" s="583">
        <v>-18.12030393141766</v>
      </c>
      <c r="E1016" s="583">
        <v>7.471167767881501E-25</v>
      </c>
      <c r="F1016" s="583">
        <v>-5.867010882354861</v>
      </c>
      <c r="G1016" s="183">
        <v>-4.698501022407048</v>
      </c>
      <c r="H1016" s="584"/>
      <c r="I1016" s="7"/>
    </row>
    <row r="1017" spans="1:9" ht="12.75">
      <c r="A1017" s="532" t="s">
        <v>55</v>
      </c>
      <c r="B1017" s="583">
        <v>-0.25684999999999913</v>
      </c>
      <c r="C1017" s="583">
        <v>0.34495233421269655</v>
      </c>
      <c r="D1017" s="583">
        <v>-0.7445956282227277</v>
      </c>
      <c r="E1017" s="583">
        <v>0.4596860051589843</v>
      </c>
      <c r="F1017" s="583">
        <v>-0.9481497558789808</v>
      </c>
      <c r="G1017" s="183">
        <v>0.4344497558789825</v>
      </c>
      <c r="H1017" s="584"/>
      <c r="I1017" s="7"/>
    </row>
    <row r="1018" spans="1:9" ht="13.5" thickBot="1">
      <c r="A1018" s="533" t="s">
        <v>56</v>
      </c>
      <c r="B1018" s="585">
        <v>0.3053285714285718</v>
      </c>
      <c r="C1018" s="585">
        <v>0.1303797272140047</v>
      </c>
      <c r="D1018" s="585">
        <v>2.341840851740753</v>
      </c>
      <c r="E1018" s="585">
        <v>0.022838056608403334</v>
      </c>
      <c r="F1018" s="585">
        <v>0.04404182350636504</v>
      </c>
      <c r="G1018" s="184">
        <v>0.5666153193507786</v>
      </c>
      <c r="H1018" s="584"/>
      <c r="I1018" s="7"/>
    </row>
    <row r="1023" spans="1:7" ht="12.75">
      <c r="A1023" s="523" t="s">
        <v>38</v>
      </c>
      <c r="B1023" s="490" t="s">
        <v>39</v>
      </c>
      <c r="C1023" s="491" t="s">
        <v>40</v>
      </c>
      <c r="D1023" s="627" t="s">
        <v>214</v>
      </c>
      <c r="E1023" s="632"/>
      <c r="F1023" s="632"/>
      <c r="G1023" s="628"/>
    </row>
    <row r="1024" spans="1:7" ht="13.5" thickBot="1">
      <c r="A1024" s="495" t="s">
        <v>47</v>
      </c>
      <c r="B1024" s="493" t="s">
        <v>48</v>
      </c>
      <c r="C1024" s="494" t="s">
        <v>49</v>
      </c>
      <c r="D1024" s="545" t="s">
        <v>53</v>
      </c>
      <c r="E1024" s="545" t="s">
        <v>54</v>
      </c>
      <c r="F1024" s="546" t="s">
        <v>55</v>
      </c>
      <c r="G1024" s="545" t="s">
        <v>56</v>
      </c>
    </row>
    <row r="1025" spans="1:7" ht="13.5" thickTop="1">
      <c r="A1025" s="498">
        <v>1</v>
      </c>
      <c r="B1025" s="28">
        <v>45</v>
      </c>
      <c r="C1025" s="50">
        <f>C759*4*10/B759</f>
        <v>5.1306666666666665</v>
      </c>
      <c r="D1025" s="198">
        <v>-2</v>
      </c>
      <c r="E1025" s="198">
        <v>2</v>
      </c>
      <c r="F1025" s="199">
        <v>-1</v>
      </c>
      <c r="G1025" s="198">
        <v>1</v>
      </c>
    </row>
    <row r="1026" spans="1:7" ht="12.75">
      <c r="A1026" s="498">
        <v>2</v>
      </c>
      <c r="B1026" s="28">
        <v>45</v>
      </c>
      <c r="C1026" s="50">
        <f aca="true" t="shared" si="20" ref="C1026:C1084">C760*4*10/B760</f>
        <v>13.738666666666667</v>
      </c>
      <c r="D1026" s="198">
        <v>-2</v>
      </c>
      <c r="E1026" s="198">
        <v>2</v>
      </c>
      <c r="F1026" s="199">
        <v>-1</v>
      </c>
      <c r="G1026" s="198">
        <v>1</v>
      </c>
    </row>
    <row r="1027" spans="1:7" ht="12.75">
      <c r="A1027" s="498">
        <v>3</v>
      </c>
      <c r="B1027" s="28">
        <v>45</v>
      </c>
      <c r="C1027" s="50">
        <f t="shared" si="20"/>
        <v>15.550222222222223</v>
      </c>
      <c r="D1027" s="198">
        <v>-2</v>
      </c>
      <c r="E1027" s="198">
        <v>2</v>
      </c>
      <c r="F1027" s="199">
        <v>-1</v>
      </c>
      <c r="G1027" s="198">
        <v>1</v>
      </c>
    </row>
    <row r="1028" spans="1:7" ht="12.75">
      <c r="A1028" s="498">
        <v>4</v>
      </c>
      <c r="B1028" s="28">
        <v>45</v>
      </c>
      <c r="C1028" s="50">
        <f t="shared" si="20"/>
        <v>12.523555555555557</v>
      </c>
      <c r="D1028" s="198">
        <v>-2</v>
      </c>
      <c r="E1028" s="198">
        <v>2</v>
      </c>
      <c r="F1028" s="199">
        <v>-1</v>
      </c>
      <c r="G1028" s="198">
        <v>1</v>
      </c>
    </row>
    <row r="1029" spans="1:7" ht="12.75">
      <c r="A1029" s="498">
        <v>5</v>
      </c>
      <c r="B1029" s="28">
        <v>45</v>
      </c>
      <c r="C1029" s="50">
        <f t="shared" si="20"/>
        <v>7.385777777777776</v>
      </c>
      <c r="D1029" s="198">
        <v>-2</v>
      </c>
      <c r="E1029" s="198">
        <v>2</v>
      </c>
      <c r="F1029" s="199">
        <v>-1</v>
      </c>
      <c r="G1029" s="198">
        <v>1</v>
      </c>
    </row>
    <row r="1030" spans="1:7" ht="12.75">
      <c r="A1030" s="498">
        <v>6</v>
      </c>
      <c r="B1030" s="28">
        <v>45</v>
      </c>
      <c r="C1030" s="50">
        <f t="shared" si="20"/>
        <v>12.2</v>
      </c>
      <c r="D1030" s="198">
        <v>-2</v>
      </c>
      <c r="E1030" s="198">
        <v>2</v>
      </c>
      <c r="F1030" s="199">
        <v>-1</v>
      </c>
      <c r="G1030" s="198">
        <v>1</v>
      </c>
    </row>
    <row r="1031" spans="1:7" ht="12.75">
      <c r="A1031" s="498">
        <v>7</v>
      </c>
      <c r="B1031" s="28">
        <v>45</v>
      </c>
      <c r="C1031" s="50">
        <f t="shared" si="20"/>
        <v>7.537777777777778</v>
      </c>
      <c r="D1031" s="198">
        <v>-2</v>
      </c>
      <c r="E1031" s="198">
        <v>2</v>
      </c>
      <c r="F1031" s="199">
        <v>-1</v>
      </c>
      <c r="G1031" s="198">
        <v>1</v>
      </c>
    </row>
    <row r="1032" spans="1:7" ht="12.75">
      <c r="A1032" s="498">
        <v>8</v>
      </c>
      <c r="B1032" s="28">
        <v>45</v>
      </c>
      <c r="C1032" s="50">
        <f t="shared" si="20"/>
        <v>5.5137777777777774</v>
      </c>
      <c r="D1032" s="198">
        <v>-2</v>
      </c>
      <c r="E1032" s="198">
        <v>2</v>
      </c>
      <c r="F1032" s="199">
        <v>-1</v>
      </c>
      <c r="G1032" s="198">
        <v>1</v>
      </c>
    </row>
    <row r="1033" spans="1:7" ht="12.75">
      <c r="A1033" s="498">
        <v>9</v>
      </c>
      <c r="B1033" s="28">
        <v>45</v>
      </c>
      <c r="C1033" s="50">
        <f t="shared" si="20"/>
        <v>7.775111111111111</v>
      </c>
      <c r="D1033" s="198">
        <v>-2</v>
      </c>
      <c r="E1033" s="198">
        <v>2</v>
      </c>
      <c r="F1033" s="199">
        <v>-1</v>
      </c>
      <c r="G1033" s="198">
        <v>1</v>
      </c>
    </row>
    <row r="1034" spans="1:7" ht="12.75">
      <c r="A1034" s="498">
        <v>10</v>
      </c>
      <c r="B1034" s="28">
        <v>45</v>
      </c>
      <c r="C1034" s="50">
        <f t="shared" si="20"/>
        <v>13.290666666666668</v>
      </c>
      <c r="D1034" s="198">
        <v>-2</v>
      </c>
      <c r="E1034" s="198">
        <v>2</v>
      </c>
      <c r="F1034" s="199">
        <v>-1</v>
      </c>
      <c r="G1034" s="198">
        <v>1</v>
      </c>
    </row>
    <row r="1035" spans="1:7" ht="12.75">
      <c r="A1035" s="498">
        <v>11</v>
      </c>
      <c r="B1035" s="28">
        <v>45</v>
      </c>
      <c r="C1035" s="50">
        <f t="shared" si="20"/>
        <v>13.907555555555556</v>
      </c>
      <c r="D1035" s="198">
        <v>-2</v>
      </c>
      <c r="E1035" s="198">
        <v>2</v>
      </c>
      <c r="F1035" s="199">
        <v>-1</v>
      </c>
      <c r="G1035" s="198">
        <v>1</v>
      </c>
    </row>
    <row r="1036" spans="1:7" ht="12.75">
      <c r="A1036" s="498">
        <v>12</v>
      </c>
      <c r="B1036" s="28">
        <v>45</v>
      </c>
      <c r="C1036" s="50">
        <f t="shared" si="20"/>
        <v>13.927111111111111</v>
      </c>
      <c r="D1036" s="198">
        <v>-2</v>
      </c>
      <c r="E1036" s="198">
        <v>2</v>
      </c>
      <c r="F1036" s="199">
        <v>-1</v>
      </c>
      <c r="G1036" s="198">
        <v>1</v>
      </c>
    </row>
    <row r="1037" spans="1:7" ht="12.75">
      <c r="A1037" s="498">
        <v>1</v>
      </c>
      <c r="B1037" s="28">
        <v>60</v>
      </c>
      <c r="C1037" s="50">
        <f t="shared" si="20"/>
        <v>18.836666666666666</v>
      </c>
      <c r="D1037" s="198">
        <v>-1</v>
      </c>
      <c r="E1037" s="198">
        <v>-1</v>
      </c>
      <c r="F1037" s="199">
        <v>2</v>
      </c>
      <c r="G1037" s="198">
        <v>-4</v>
      </c>
    </row>
    <row r="1038" spans="1:7" ht="12.75">
      <c r="A1038" s="498">
        <v>2</v>
      </c>
      <c r="B1038" s="28">
        <v>60</v>
      </c>
      <c r="C1038" s="50">
        <f t="shared" si="20"/>
        <v>17.495333333333335</v>
      </c>
      <c r="D1038" s="198">
        <v>-1</v>
      </c>
      <c r="E1038" s="198">
        <v>-1</v>
      </c>
      <c r="F1038" s="199">
        <v>2</v>
      </c>
      <c r="G1038" s="198">
        <v>-4</v>
      </c>
    </row>
    <row r="1039" spans="1:7" ht="12.75">
      <c r="A1039" s="498">
        <v>3</v>
      </c>
      <c r="B1039" s="28">
        <v>60</v>
      </c>
      <c r="C1039" s="50">
        <f t="shared" si="20"/>
        <v>20.312666666666665</v>
      </c>
      <c r="D1039" s="198">
        <v>-1</v>
      </c>
      <c r="E1039" s="198">
        <v>-1</v>
      </c>
      <c r="F1039" s="199">
        <v>2</v>
      </c>
      <c r="G1039" s="198">
        <v>-4</v>
      </c>
    </row>
    <row r="1040" spans="1:7" ht="12.75">
      <c r="A1040" s="498">
        <v>4</v>
      </c>
      <c r="B1040" s="28">
        <v>60</v>
      </c>
      <c r="C1040" s="50">
        <f t="shared" si="20"/>
        <v>16.740666666666666</v>
      </c>
      <c r="D1040" s="198">
        <v>-1</v>
      </c>
      <c r="E1040" s="198">
        <v>-1</v>
      </c>
      <c r="F1040" s="199">
        <v>2</v>
      </c>
      <c r="G1040" s="198">
        <v>-4</v>
      </c>
    </row>
    <row r="1041" spans="1:7" ht="12.75">
      <c r="A1041" s="498">
        <v>5</v>
      </c>
      <c r="B1041" s="28">
        <v>60</v>
      </c>
      <c r="C1041" s="50">
        <f t="shared" si="20"/>
        <v>17.616666666666667</v>
      </c>
      <c r="D1041" s="198">
        <v>-1</v>
      </c>
      <c r="E1041" s="198">
        <v>-1</v>
      </c>
      <c r="F1041" s="199">
        <v>2</v>
      </c>
      <c r="G1041" s="198">
        <v>-4</v>
      </c>
    </row>
    <row r="1042" spans="1:7" ht="12.75">
      <c r="A1042" s="498">
        <v>6</v>
      </c>
      <c r="B1042" s="28">
        <v>60</v>
      </c>
      <c r="C1042" s="50">
        <f t="shared" si="20"/>
        <v>15.674</v>
      </c>
      <c r="D1042" s="198">
        <v>-1</v>
      </c>
      <c r="E1042" s="198">
        <v>-1</v>
      </c>
      <c r="F1042" s="199">
        <v>2</v>
      </c>
      <c r="G1042" s="198">
        <v>-4</v>
      </c>
    </row>
    <row r="1043" spans="1:7" ht="12.75">
      <c r="A1043" s="498">
        <v>7</v>
      </c>
      <c r="B1043" s="28">
        <v>60</v>
      </c>
      <c r="C1043" s="50">
        <f t="shared" si="20"/>
        <v>16.474</v>
      </c>
      <c r="D1043" s="198">
        <v>-1</v>
      </c>
      <c r="E1043" s="198">
        <v>-1</v>
      </c>
      <c r="F1043" s="199">
        <v>2</v>
      </c>
      <c r="G1043" s="198">
        <v>-4</v>
      </c>
    </row>
    <row r="1044" spans="1:7" ht="12.75">
      <c r="A1044" s="498">
        <v>8</v>
      </c>
      <c r="B1044" s="28">
        <v>60</v>
      </c>
      <c r="C1044" s="50">
        <f t="shared" si="20"/>
        <v>20.073333333333334</v>
      </c>
      <c r="D1044" s="198">
        <v>-1</v>
      </c>
      <c r="E1044" s="198">
        <v>-1</v>
      </c>
      <c r="F1044" s="199">
        <v>2</v>
      </c>
      <c r="G1044" s="198">
        <v>-4</v>
      </c>
    </row>
    <row r="1045" spans="1:7" ht="12.75">
      <c r="A1045" s="498">
        <v>9</v>
      </c>
      <c r="B1045" s="28">
        <v>60</v>
      </c>
      <c r="C1045" s="50">
        <f t="shared" si="20"/>
        <v>19.316</v>
      </c>
      <c r="D1045" s="198">
        <v>-1</v>
      </c>
      <c r="E1045" s="198">
        <v>-1</v>
      </c>
      <c r="F1045" s="199">
        <v>2</v>
      </c>
      <c r="G1045" s="198">
        <v>-4</v>
      </c>
    </row>
    <row r="1046" spans="1:7" ht="12.75">
      <c r="A1046" s="498">
        <v>10</v>
      </c>
      <c r="B1046" s="28">
        <v>60</v>
      </c>
      <c r="C1046" s="50">
        <f t="shared" si="20"/>
        <v>23.23</v>
      </c>
      <c r="D1046" s="198">
        <v>-1</v>
      </c>
      <c r="E1046" s="198">
        <v>-1</v>
      </c>
      <c r="F1046" s="199">
        <v>2</v>
      </c>
      <c r="G1046" s="198">
        <v>-4</v>
      </c>
    </row>
    <row r="1047" spans="1:7" ht="12.75">
      <c r="A1047" s="498">
        <v>11</v>
      </c>
      <c r="B1047" s="28">
        <v>60</v>
      </c>
      <c r="C1047" s="50">
        <f t="shared" si="20"/>
        <v>21.090666666666667</v>
      </c>
      <c r="D1047" s="198">
        <v>-1</v>
      </c>
      <c r="E1047" s="198">
        <v>-1</v>
      </c>
      <c r="F1047" s="199">
        <v>2</v>
      </c>
      <c r="G1047" s="198">
        <v>-4</v>
      </c>
    </row>
    <row r="1048" spans="1:7" ht="12.75">
      <c r="A1048" s="498">
        <v>12</v>
      </c>
      <c r="B1048" s="28">
        <v>60</v>
      </c>
      <c r="C1048" s="50">
        <f t="shared" si="20"/>
        <v>21.012</v>
      </c>
      <c r="D1048" s="198">
        <v>-1</v>
      </c>
      <c r="E1048" s="198">
        <v>-1</v>
      </c>
      <c r="F1048" s="199">
        <v>2</v>
      </c>
      <c r="G1048" s="198">
        <v>-4</v>
      </c>
    </row>
    <row r="1049" spans="1:7" ht="12.75">
      <c r="A1049" s="498">
        <v>1</v>
      </c>
      <c r="B1049" s="28">
        <v>75</v>
      </c>
      <c r="C1049" s="50">
        <f t="shared" si="20"/>
        <v>21.1872</v>
      </c>
      <c r="D1049" s="198">
        <v>0</v>
      </c>
      <c r="E1049" s="198">
        <v>-2</v>
      </c>
      <c r="F1049" s="199">
        <v>0</v>
      </c>
      <c r="G1049" s="198">
        <v>6</v>
      </c>
    </row>
    <row r="1050" spans="1:7" ht="12.75">
      <c r="A1050" s="498">
        <v>2</v>
      </c>
      <c r="B1050" s="28">
        <v>75</v>
      </c>
      <c r="C1050" s="50">
        <f t="shared" si="20"/>
        <v>23.6416</v>
      </c>
      <c r="D1050" s="198">
        <v>0</v>
      </c>
      <c r="E1050" s="198">
        <v>-2</v>
      </c>
      <c r="F1050" s="199">
        <v>0</v>
      </c>
      <c r="G1050" s="198">
        <v>6</v>
      </c>
    </row>
    <row r="1051" spans="1:7" ht="12.75">
      <c r="A1051" s="498">
        <v>3</v>
      </c>
      <c r="B1051" s="28">
        <v>75</v>
      </c>
      <c r="C1051" s="50">
        <f t="shared" si="20"/>
        <v>23.6784</v>
      </c>
      <c r="D1051" s="198">
        <v>0</v>
      </c>
      <c r="E1051" s="198">
        <v>-2</v>
      </c>
      <c r="F1051" s="199">
        <v>0</v>
      </c>
      <c r="G1051" s="198">
        <v>6</v>
      </c>
    </row>
    <row r="1052" spans="1:7" ht="12.75">
      <c r="A1052" s="498">
        <v>4</v>
      </c>
      <c r="B1052" s="28">
        <v>75</v>
      </c>
      <c r="C1052" s="50">
        <f t="shared" si="20"/>
        <v>22.090666666666667</v>
      </c>
      <c r="D1052" s="198">
        <v>0</v>
      </c>
      <c r="E1052" s="198">
        <v>-2</v>
      </c>
      <c r="F1052" s="199">
        <v>0</v>
      </c>
      <c r="G1052" s="198">
        <v>6</v>
      </c>
    </row>
    <row r="1053" spans="1:7" ht="12.75">
      <c r="A1053" s="498">
        <v>5</v>
      </c>
      <c r="B1053" s="28">
        <v>75</v>
      </c>
      <c r="C1053" s="50">
        <f t="shared" si="20"/>
        <v>23.5792</v>
      </c>
      <c r="D1053" s="198">
        <v>0</v>
      </c>
      <c r="E1053" s="198">
        <v>-2</v>
      </c>
      <c r="F1053" s="199">
        <v>0</v>
      </c>
      <c r="G1053" s="198">
        <v>6</v>
      </c>
    </row>
    <row r="1054" spans="1:7" ht="12.75">
      <c r="A1054" s="498">
        <v>6</v>
      </c>
      <c r="B1054" s="28">
        <v>75</v>
      </c>
      <c r="C1054" s="50">
        <f t="shared" si="20"/>
        <v>17.187733333333334</v>
      </c>
      <c r="D1054" s="198">
        <v>0</v>
      </c>
      <c r="E1054" s="198">
        <v>-2</v>
      </c>
      <c r="F1054" s="199">
        <v>0</v>
      </c>
      <c r="G1054" s="198">
        <v>6</v>
      </c>
    </row>
    <row r="1055" spans="1:7" ht="12.75">
      <c r="A1055" s="498">
        <v>7</v>
      </c>
      <c r="B1055" s="28">
        <v>75</v>
      </c>
      <c r="C1055" s="50">
        <f t="shared" si="20"/>
        <v>20.829866666666664</v>
      </c>
      <c r="D1055" s="198">
        <v>0</v>
      </c>
      <c r="E1055" s="198">
        <v>-2</v>
      </c>
      <c r="F1055" s="199">
        <v>0</v>
      </c>
      <c r="G1055" s="198">
        <v>6</v>
      </c>
    </row>
    <row r="1056" spans="1:7" ht="12.75">
      <c r="A1056" s="498">
        <v>8</v>
      </c>
      <c r="B1056" s="28">
        <v>75</v>
      </c>
      <c r="C1056" s="50">
        <f t="shared" si="20"/>
        <v>19.757333333333335</v>
      </c>
      <c r="D1056" s="198">
        <v>0</v>
      </c>
      <c r="E1056" s="198">
        <v>-2</v>
      </c>
      <c r="F1056" s="199">
        <v>0</v>
      </c>
      <c r="G1056" s="198">
        <v>6</v>
      </c>
    </row>
    <row r="1057" spans="1:7" ht="12.75">
      <c r="A1057" s="498">
        <v>9</v>
      </c>
      <c r="B1057" s="28">
        <v>75</v>
      </c>
      <c r="C1057" s="50">
        <f t="shared" si="20"/>
        <v>20.135466666666666</v>
      </c>
      <c r="D1057" s="198">
        <v>0</v>
      </c>
      <c r="E1057" s="198">
        <v>-2</v>
      </c>
      <c r="F1057" s="199">
        <v>0</v>
      </c>
      <c r="G1057" s="198">
        <v>6</v>
      </c>
    </row>
    <row r="1058" spans="1:7" ht="12.75">
      <c r="A1058" s="498">
        <v>10</v>
      </c>
      <c r="B1058" s="28">
        <v>75</v>
      </c>
      <c r="C1058" s="50">
        <f t="shared" si="20"/>
        <v>18.574933333333334</v>
      </c>
      <c r="D1058" s="198">
        <v>0</v>
      </c>
      <c r="E1058" s="198">
        <v>-2</v>
      </c>
      <c r="F1058" s="199">
        <v>0</v>
      </c>
      <c r="G1058" s="198">
        <v>6</v>
      </c>
    </row>
    <row r="1059" spans="1:7" ht="12.75">
      <c r="A1059" s="498">
        <v>11</v>
      </c>
      <c r="B1059" s="28">
        <v>75</v>
      </c>
      <c r="C1059" s="50">
        <f t="shared" si="20"/>
        <v>23.1232</v>
      </c>
      <c r="D1059" s="198">
        <v>0</v>
      </c>
      <c r="E1059" s="198">
        <v>-2</v>
      </c>
      <c r="F1059" s="199">
        <v>0</v>
      </c>
      <c r="G1059" s="198">
        <v>6</v>
      </c>
    </row>
    <row r="1060" spans="1:7" ht="12.75">
      <c r="A1060" s="498">
        <v>12</v>
      </c>
      <c r="B1060" s="28">
        <v>75</v>
      </c>
      <c r="C1060" s="50">
        <f t="shared" si="20"/>
        <v>23.632533333333335</v>
      </c>
      <c r="D1060" s="198">
        <v>0</v>
      </c>
      <c r="E1060" s="198">
        <v>-2</v>
      </c>
      <c r="F1060" s="199">
        <v>0</v>
      </c>
      <c r="G1060" s="198">
        <v>6</v>
      </c>
    </row>
    <row r="1061" spans="1:7" ht="12.75">
      <c r="A1061" s="498">
        <v>1</v>
      </c>
      <c r="B1061" s="28">
        <v>90</v>
      </c>
      <c r="C1061" s="50">
        <f t="shared" si="20"/>
        <v>13.637777777777776</v>
      </c>
      <c r="D1061" s="198">
        <v>1</v>
      </c>
      <c r="E1061" s="198">
        <v>-1</v>
      </c>
      <c r="F1061" s="199">
        <v>-2</v>
      </c>
      <c r="G1061" s="198">
        <v>-4</v>
      </c>
    </row>
    <row r="1062" spans="1:7" ht="12.75">
      <c r="A1062" s="498">
        <v>2</v>
      </c>
      <c r="B1062" s="28">
        <v>90</v>
      </c>
      <c r="C1062" s="50">
        <f t="shared" si="20"/>
        <v>16.87422222222222</v>
      </c>
      <c r="D1062" s="198">
        <v>1</v>
      </c>
      <c r="E1062" s="198">
        <v>-1</v>
      </c>
      <c r="F1062" s="199">
        <v>-2</v>
      </c>
      <c r="G1062" s="198">
        <v>-4</v>
      </c>
    </row>
    <row r="1063" spans="1:7" ht="12.75">
      <c r="A1063" s="498">
        <v>3</v>
      </c>
      <c r="B1063" s="28">
        <v>90</v>
      </c>
      <c r="C1063" s="50">
        <f t="shared" si="20"/>
        <v>14.729333333333331</v>
      </c>
      <c r="D1063" s="198">
        <v>1</v>
      </c>
      <c r="E1063" s="198">
        <v>-1</v>
      </c>
      <c r="F1063" s="199">
        <v>-2</v>
      </c>
      <c r="G1063" s="198">
        <v>-4</v>
      </c>
    </row>
    <row r="1064" spans="1:7" ht="12.75">
      <c r="A1064" s="498">
        <v>4</v>
      </c>
      <c r="B1064" s="28">
        <v>90</v>
      </c>
      <c r="C1064" s="50">
        <f t="shared" si="20"/>
        <v>16.19822222222222</v>
      </c>
      <c r="D1064" s="198">
        <v>1</v>
      </c>
      <c r="E1064" s="198">
        <v>-1</v>
      </c>
      <c r="F1064" s="199">
        <v>-2</v>
      </c>
      <c r="G1064" s="198">
        <v>-4</v>
      </c>
    </row>
    <row r="1065" spans="1:7" ht="12.75">
      <c r="A1065" s="498">
        <v>5</v>
      </c>
      <c r="B1065" s="28">
        <v>90</v>
      </c>
      <c r="C1065" s="50">
        <f t="shared" si="20"/>
        <v>14.460888888888888</v>
      </c>
      <c r="D1065" s="198">
        <v>1</v>
      </c>
      <c r="E1065" s="198">
        <v>-1</v>
      </c>
      <c r="F1065" s="199">
        <v>-2</v>
      </c>
      <c r="G1065" s="198">
        <v>-4</v>
      </c>
    </row>
    <row r="1066" spans="1:7" ht="12.75">
      <c r="A1066" s="498">
        <v>6</v>
      </c>
      <c r="B1066" s="28">
        <v>90</v>
      </c>
      <c r="C1066" s="50">
        <f t="shared" si="20"/>
        <v>15.043999999999999</v>
      </c>
      <c r="D1066" s="198">
        <v>1</v>
      </c>
      <c r="E1066" s="198">
        <v>-1</v>
      </c>
      <c r="F1066" s="199">
        <v>-2</v>
      </c>
      <c r="G1066" s="198">
        <v>-4</v>
      </c>
    </row>
    <row r="1067" spans="1:7" ht="12.75">
      <c r="A1067" s="498">
        <v>7</v>
      </c>
      <c r="B1067" s="28">
        <v>90</v>
      </c>
      <c r="C1067" s="50">
        <f t="shared" si="20"/>
        <v>17.288</v>
      </c>
      <c r="D1067" s="198">
        <v>1</v>
      </c>
      <c r="E1067" s="198">
        <v>-1</v>
      </c>
      <c r="F1067" s="199">
        <v>-2</v>
      </c>
      <c r="G1067" s="198">
        <v>-4</v>
      </c>
    </row>
    <row r="1068" spans="1:7" ht="12.75">
      <c r="A1068" s="498">
        <v>8</v>
      </c>
      <c r="B1068" s="28">
        <v>90</v>
      </c>
      <c r="C1068" s="50">
        <f t="shared" si="20"/>
        <v>15.044888888888888</v>
      </c>
      <c r="D1068" s="198">
        <v>1</v>
      </c>
      <c r="E1068" s="198">
        <v>-1</v>
      </c>
      <c r="F1068" s="199">
        <v>-2</v>
      </c>
      <c r="G1068" s="198">
        <v>-4</v>
      </c>
    </row>
    <row r="1069" spans="1:7" ht="12.75">
      <c r="A1069" s="498">
        <v>9</v>
      </c>
      <c r="B1069" s="28">
        <v>90</v>
      </c>
      <c r="C1069" s="50">
        <f t="shared" si="20"/>
        <v>14.55377777777778</v>
      </c>
      <c r="D1069" s="198">
        <v>1</v>
      </c>
      <c r="E1069" s="198">
        <v>-1</v>
      </c>
      <c r="F1069" s="199">
        <v>-2</v>
      </c>
      <c r="G1069" s="198">
        <v>-4</v>
      </c>
    </row>
    <row r="1070" spans="1:7" ht="12.75">
      <c r="A1070" s="498">
        <v>10</v>
      </c>
      <c r="B1070" s="28">
        <v>90</v>
      </c>
      <c r="C1070" s="50">
        <f t="shared" si="20"/>
        <v>15.280444444444445</v>
      </c>
      <c r="D1070" s="198">
        <v>1</v>
      </c>
      <c r="E1070" s="198">
        <v>-1</v>
      </c>
      <c r="F1070" s="199">
        <v>-2</v>
      </c>
      <c r="G1070" s="198">
        <v>-4</v>
      </c>
    </row>
    <row r="1071" spans="1:7" ht="12.75">
      <c r="A1071" s="498">
        <v>11</v>
      </c>
      <c r="B1071" s="28">
        <v>90</v>
      </c>
      <c r="C1071" s="50">
        <f t="shared" si="20"/>
        <v>18.87511111111111</v>
      </c>
      <c r="D1071" s="198">
        <v>1</v>
      </c>
      <c r="E1071" s="198">
        <v>-1</v>
      </c>
      <c r="F1071" s="199">
        <v>-2</v>
      </c>
      <c r="G1071" s="198">
        <v>-4</v>
      </c>
    </row>
    <row r="1072" spans="1:7" ht="12.75">
      <c r="A1072" s="498">
        <v>12</v>
      </c>
      <c r="B1072" s="28">
        <v>90</v>
      </c>
      <c r="C1072" s="50">
        <f t="shared" si="20"/>
        <v>16.211111111111112</v>
      </c>
      <c r="D1072" s="198">
        <v>1</v>
      </c>
      <c r="E1072" s="198">
        <v>-1</v>
      </c>
      <c r="F1072" s="199">
        <v>-2</v>
      </c>
      <c r="G1072" s="198">
        <v>-4</v>
      </c>
    </row>
    <row r="1073" spans="1:7" ht="12.75">
      <c r="A1073" s="498">
        <v>1</v>
      </c>
      <c r="B1073" s="28">
        <v>105</v>
      </c>
      <c r="C1073" s="50">
        <f t="shared" si="20"/>
        <v>8.40495238095238</v>
      </c>
      <c r="D1073" s="198">
        <v>2</v>
      </c>
      <c r="E1073" s="198">
        <v>2</v>
      </c>
      <c r="F1073" s="199">
        <v>1</v>
      </c>
      <c r="G1073" s="198">
        <v>1</v>
      </c>
    </row>
    <row r="1074" spans="1:7" ht="12.75">
      <c r="A1074" s="498">
        <v>2</v>
      </c>
      <c r="B1074" s="28">
        <v>105</v>
      </c>
      <c r="C1074" s="50">
        <f t="shared" si="20"/>
        <v>10.422095238095238</v>
      </c>
      <c r="D1074" s="198">
        <v>2</v>
      </c>
      <c r="E1074" s="198">
        <v>2</v>
      </c>
      <c r="F1074" s="199">
        <v>1</v>
      </c>
      <c r="G1074" s="198">
        <v>1</v>
      </c>
    </row>
    <row r="1075" spans="1:7" ht="12.75">
      <c r="A1075" s="498">
        <v>3</v>
      </c>
      <c r="B1075" s="28">
        <v>105</v>
      </c>
      <c r="C1075" s="50">
        <f t="shared" si="20"/>
        <v>7.7832380952380955</v>
      </c>
      <c r="D1075" s="198">
        <v>2</v>
      </c>
      <c r="E1075" s="198">
        <v>2</v>
      </c>
      <c r="F1075" s="199">
        <v>1</v>
      </c>
      <c r="G1075" s="198">
        <v>1</v>
      </c>
    </row>
    <row r="1076" spans="1:7" ht="12.75">
      <c r="A1076" s="498">
        <v>4</v>
      </c>
      <c r="B1076" s="28">
        <v>105</v>
      </c>
      <c r="C1076" s="50">
        <f t="shared" si="20"/>
        <v>7.384380952380953</v>
      </c>
      <c r="D1076" s="198">
        <v>2</v>
      </c>
      <c r="E1076" s="198">
        <v>2</v>
      </c>
      <c r="F1076" s="199">
        <v>1</v>
      </c>
      <c r="G1076" s="198">
        <v>1</v>
      </c>
    </row>
    <row r="1077" spans="1:7" ht="12.75">
      <c r="A1077" s="498">
        <v>5</v>
      </c>
      <c r="B1077" s="28">
        <v>105</v>
      </c>
      <c r="C1077" s="50">
        <f t="shared" si="20"/>
        <v>7.509333333333333</v>
      </c>
      <c r="D1077" s="198">
        <v>2</v>
      </c>
      <c r="E1077" s="198">
        <v>2</v>
      </c>
      <c r="F1077" s="199">
        <v>1</v>
      </c>
      <c r="G1077" s="198">
        <v>1</v>
      </c>
    </row>
    <row r="1078" spans="1:7" ht="12.75">
      <c r="A1078" s="498">
        <v>6</v>
      </c>
      <c r="B1078" s="28">
        <v>105</v>
      </c>
      <c r="C1078" s="50">
        <f t="shared" si="20"/>
        <v>8.92152380952381</v>
      </c>
      <c r="D1078" s="198">
        <v>2</v>
      </c>
      <c r="E1078" s="198">
        <v>2</v>
      </c>
      <c r="F1078" s="199">
        <v>1</v>
      </c>
      <c r="G1078" s="198">
        <v>1</v>
      </c>
    </row>
    <row r="1079" spans="1:7" ht="12.75">
      <c r="A1079" s="498">
        <v>7</v>
      </c>
      <c r="B1079" s="28">
        <v>105</v>
      </c>
      <c r="C1079" s="50">
        <f t="shared" si="20"/>
        <v>10.913904761904762</v>
      </c>
      <c r="D1079" s="198">
        <v>2</v>
      </c>
      <c r="E1079" s="198">
        <v>2</v>
      </c>
      <c r="F1079" s="199">
        <v>1</v>
      </c>
      <c r="G1079" s="198">
        <v>1</v>
      </c>
    </row>
    <row r="1080" spans="1:7" ht="12.75">
      <c r="A1080" s="498">
        <v>8</v>
      </c>
      <c r="B1080" s="28">
        <v>105</v>
      </c>
      <c r="C1080" s="50">
        <f t="shared" si="20"/>
        <v>8.207238095238095</v>
      </c>
      <c r="D1080" s="198">
        <v>2</v>
      </c>
      <c r="E1080" s="198">
        <v>2</v>
      </c>
      <c r="F1080" s="199">
        <v>1</v>
      </c>
      <c r="G1080" s="198">
        <v>1</v>
      </c>
    </row>
    <row r="1081" spans="1:7" ht="12.75">
      <c r="A1081" s="498">
        <v>9</v>
      </c>
      <c r="B1081" s="28">
        <v>105</v>
      </c>
      <c r="C1081" s="50">
        <f t="shared" si="20"/>
        <v>11.444952380952381</v>
      </c>
      <c r="D1081" s="198">
        <v>2</v>
      </c>
      <c r="E1081" s="198">
        <v>2</v>
      </c>
      <c r="F1081" s="199">
        <v>1</v>
      </c>
      <c r="G1081" s="198">
        <v>1</v>
      </c>
    </row>
    <row r="1082" spans="1:7" ht="12.75">
      <c r="A1082" s="498">
        <v>10</v>
      </c>
      <c r="B1082" s="28">
        <v>105</v>
      </c>
      <c r="C1082" s="50">
        <f t="shared" si="20"/>
        <v>8.798857142857145</v>
      </c>
      <c r="D1082" s="198">
        <v>2</v>
      </c>
      <c r="E1082" s="198">
        <v>2</v>
      </c>
      <c r="F1082" s="199">
        <v>1</v>
      </c>
      <c r="G1082" s="198">
        <v>1</v>
      </c>
    </row>
    <row r="1083" spans="1:7" ht="12.75">
      <c r="A1083" s="498">
        <v>11</v>
      </c>
      <c r="B1083" s="28">
        <v>105</v>
      </c>
      <c r="C1083" s="50">
        <f t="shared" si="20"/>
        <v>8.794666666666666</v>
      </c>
      <c r="D1083" s="198">
        <v>2</v>
      </c>
      <c r="E1083" s="198">
        <v>2</v>
      </c>
      <c r="F1083" s="199">
        <v>1</v>
      </c>
      <c r="G1083" s="198">
        <v>1</v>
      </c>
    </row>
    <row r="1084" spans="1:7" ht="12.75">
      <c r="A1084" s="499">
        <v>12</v>
      </c>
      <c r="B1084" s="30">
        <v>105</v>
      </c>
      <c r="C1084" s="50">
        <f t="shared" si="20"/>
        <v>6.936</v>
      </c>
      <c r="D1084" s="200">
        <v>2</v>
      </c>
      <c r="E1084" s="200">
        <v>2</v>
      </c>
      <c r="F1084" s="201">
        <v>1</v>
      </c>
      <c r="G1084" s="200">
        <v>1</v>
      </c>
    </row>
    <row r="1085" spans="1:7" ht="12.75">
      <c r="A1085" s="489" t="s">
        <v>235</v>
      </c>
      <c r="B1085" s="24"/>
      <c r="C1085" s="37"/>
      <c r="D1085" s="191">
        <f>SLOPE($C$1025:$C$1084,D1025:D1084)</f>
        <v>-0.7132809523809523</v>
      </c>
      <c r="E1085" s="191">
        <f>SLOPE($C$1025:$C$1084,E1025:E1084)</f>
        <v>-2.755368934240362</v>
      </c>
      <c r="F1085" s="191">
        <f>SLOPE($C$1025:$C$1084,F1025:F1084)</f>
        <v>0.46990582010582005</v>
      </c>
      <c r="G1085" s="191">
        <f>SLOPE($C$1025:$C$1084,G1025:G1084)</f>
        <v>0.13599014361300094</v>
      </c>
    </row>
    <row r="1086" spans="1:7" ht="12.75">
      <c r="A1086" s="498" t="s">
        <v>236</v>
      </c>
      <c r="B1086" s="6"/>
      <c r="C1086" s="28"/>
      <c r="D1086" s="215">
        <f>RSQ($C$1025:$C$1084,D1025:D1084)</f>
        <v>0.03617047666743427</v>
      </c>
      <c r="E1086" s="215">
        <f>RSQ($C$1025:$C$1084,E1025:E1084)</f>
        <v>0.7556497266698845</v>
      </c>
      <c r="F1086" s="215">
        <f>RSQ($C$1025:$C$1084,F1025:F1084)</f>
        <v>0.015698372386490092</v>
      </c>
      <c r="G1086" s="215">
        <f>RSQ($C$1025:$C$1084,G1025:G1084)</f>
        <v>0.009203348838391757</v>
      </c>
    </row>
    <row r="1087" spans="1:7" ht="12.75">
      <c r="A1087" s="498" t="s">
        <v>243</v>
      </c>
      <c r="B1087" s="6"/>
      <c r="C1087" s="216">
        <v>0.05</v>
      </c>
      <c r="D1087" s="215"/>
      <c r="E1087" s="213"/>
      <c r="F1087" s="215"/>
      <c r="G1087" s="39"/>
    </row>
    <row r="1088" spans="1:7" ht="12.75">
      <c r="A1088" s="499" t="s">
        <v>242</v>
      </c>
      <c r="B1088" s="10"/>
      <c r="C1088" s="11">
        <f>AVERAGE(C1025:C1084)</f>
        <v>15.124832380952377</v>
      </c>
      <c r="D1088" s="82">
        <f>IF(F1095&lt;=C1087,D1085,0)</f>
        <v>-0.7132809523809523</v>
      </c>
      <c r="E1088" s="52">
        <f>IF(F1096&lt;=C1087,E1085,0)</f>
        <v>-2.755368934240362</v>
      </c>
      <c r="F1088" s="82">
        <f>IF(F1097&lt;=C1087,F1085,0)</f>
        <v>0</v>
      </c>
      <c r="G1088" s="82">
        <f>IF(F1098&lt;=C1087,G1085,0)</f>
        <v>0</v>
      </c>
    </row>
    <row r="1090" ht="12.75">
      <c r="A1090" s="64" t="s">
        <v>321</v>
      </c>
    </row>
    <row r="1091" spans="1:8" ht="12.75">
      <c r="A1091" s="525" t="s">
        <v>143</v>
      </c>
      <c r="B1091" s="514" t="s">
        <v>114</v>
      </c>
      <c r="C1091" s="511" t="s">
        <v>113</v>
      </c>
      <c r="D1091" s="514" t="s">
        <v>227</v>
      </c>
      <c r="E1091" s="511" t="s">
        <v>145</v>
      </c>
      <c r="F1091" s="514" t="s">
        <v>146</v>
      </c>
      <c r="G1091" s="629" t="s">
        <v>124</v>
      </c>
      <c r="H1091" s="630"/>
    </row>
    <row r="1092" spans="1:8" ht="13.5" thickBot="1">
      <c r="A1092" s="527" t="s">
        <v>148</v>
      </c>
      <c r="B1092" s="517" t="s">
        <v>117</v>
      </c>
      <c r="C1092" s="519" t="s">
        <v>116</v>
      </c>
      <c r="D1092" s="517" t="s">
        <v>228</v>
      </c>
      <c r="E1092" s="519" t="s">
        <v>121</v>
      </c>
      <c r="F1092" s="517" t="s">
        <v>151</v>
      </c>
      <c r="G1092" s="517">
        <v>0.05</v>
      </c>
      <c r="H1092" s="518">
        <v>0.01</v>
      </c>
    </row>
    <row r="1093" spans="1:8" ht="13.5" thickTop="1">
      <c r="A1093" s="498" t="s">
        <v>50</v>
      </c>
      <c r="B1093" s="26">
        <f>COUNT(C1025:C1084)-1</f>
        <v>59</v>
      </c>
      <c r="C1093" s="219">
        <f>VAR(C1025:C1084)*B1093</f>
        <v>1687.9060401906609</v>
      </c>
      <c r="D1093" s="220"/>
      <c r="E1093" s="6"/>
      <c r="F1093" s="28"/>
      <c r="G1093" s="28"/>
      <c r="H1093" s="38"/>
    </row>
    <row r="1094" spans="1:8" ht="12.75">
      <c r="A1094" s="498" t="s">
        <v>237</v>
      </c>
      <c r="B1094" s="28"/>
      <c r="C1094" s="219"/>
      <c r="D1094" s="220"/>
      <c r="E1094" s="6"/>
      <c r="F1094" s="28"/>
      <c r="G1094" s="28"/>
      <c r="H1094" s="38"/>
    </row>
    <row r="1095" spans="1:8" ht="12.75">
      <c r="A1095" s="498" t="s">
        <v>238</v>
      </c>
      <c r="B1095" s="28">
        <v>1</v>
      </c>
      <c r="C1095" s="219">
        <f>$C$1093*D1086</f>
        <v>61.05236604353767</v>
      </c>
      <c r="D1095" s="220">
        <f aca="true" t="shared" si="21" ref="D1095:D1100">C1095/B1095</f>
        <v>61.05236604353767</v>
      </c>
      <c r="E1095" s="252">
        <f>D1095/$D$835</f>
        <v>4.275659156903461</v>
      </c>
      <c r="F1095" s="253">
        <f>FDIST(E1095,B1095,$B$835)</f>
        <v>0.04337880048476424</v>
      </c>
      <c r="G1095" s="39">
        <f>FINV(0.05,$B1095,$B$835)</f>
        <v>4.0161954376707065</v>
      </c>
      <c r="H1095" s="80">
        <f>FINV(0.01,$B1095,$B$835)</f>
        <v>7.119376494974379</v>
      </c>
    </row>
    <row r="1096" spans="1:8" ht="12.75">
      <c r="A1096" s="498" t="s">
        <v>239</v>
      </c>
      <c r="B1096" s="28">
        <v>1</v>
      </c>
      <c r="C1096" s="219">
        <f>$C$1093*E1086</f>
        <v>1275.4657379145199</v>
      </c>
      <c r="D1096" s="220">
        <f t="shared" si="21"/>
        <v>1275.4657379145199</v>
      </c>
      <c r="E1096" s="252">
        <f>D1096/$D$835</f>
        <v>89.32424924763568</v>
      </c>
      <c r="F1096" s="253">
        <f>FDIST(E1096,B1096,$B$835)</f>
        <v>4.050766944650081E-13</v>
      </c>
      <c r="G1096" s="218" t="s">
        <v>244</v>
      </c>
      <c r="H1096" s="218" t="s">
        <v>244</v>
      </c>
    </row>
    <row r="1097" spans="1:8" ht="12.75">
      <c r="A1097" s="498" t="s">
        <v>240</v>
      </c>
      <c r="B1097" s="28">
        <v>1</v>
      </c>
      <c r="C1097" s="219">
        <f>$C$1093*F1086</f>
        <v>26.497377572318907</v>
      </c>
      <c r="D1097" s="220">
        <f t="shared" si="21"/>
        <v>26.497377572318907</v>
      </c>
      <c r="E1097" s="252">
        <f>D1097/$D$835</f>
        <v>1.8556816450032698</v>
      </c>
      <c r="F1097" s="253">
        <f>FDIST(E1097,B1097,$B$835)</f>
        <v>0.1786769990378151</v>
      </c>
      <c r="G1097" s="218" t="s">
        <v>244</v>
      </c>
      <c r="H1097" s="218" t="s">
        <v>244</v>
      </c>
    </row>
    <row r="1098" spans="1:8" ht="12.75">
      <c r="A1098" s="498" t="s">
        <v>241</v>
      </c>
      <c r="B1098" s="28">
        <v>1</v>
      </c>
      <c r="C1098" s="219">
        <f>$C$1093*G1086</f>
        <v>15.53438809430315</v>
      </c>
      <c r="D1098" s="220">
        <f t="shared" si="21"/>
        <v>15.53438809430315</v>
      </c>
      <c r="E1098" s="252">
        <f>D1098/$D$835</f>
        <v>1.0879144086722883</v>
      </c>
      <c r="F1098" s="253">
        <f>FDIST(E1098,B1098,$B$835)</f>
        <v>0.30149680091899966</v>
      </c>
      <c r="G1098" s="218" t="s">
        <v>244</v>
      </c>
      <c r="H1098" s="218" t="s">
        <v>244</v>
      </c>
    </row>
    <row r="1099" spans="1:8" ht="12.75">
      <c r="A1099" s="498" t="s">
        <v>249</v>
      </c>
      <c r="B1099" s="26">
        <f>SUM(B1095:B1098)</f>
        <v>4</v>
      </c>
      <c r="C1099" s="251">
        <f>SUM(C1095:C1098)</f>
        <v>1378.5498696246796</v>
      </c>
      <c r="D1099" s="220">
        <f t="shared" si="21"/>
        <v>344.6374674061699</v>
      </c>
      <c r="E1099" s="252">
        <f>D1099/B1100</f>
        <v>6.266135771021271</v>
      </c>
      <c r="F1099" s="253">
        <f>FDIST(E1099,B1099,$B$835)</f>
        <v>0.0003148077661292615</v>
      </c>
      <c r="G1099" s="39">
        <f>FINV(0.05,$B1099,$B$835)</f>
        <v>2.5396886349670442</v>
      </c>
      <c r="H1099" s="80">
        <f>FINV(0.01,$B1099,$B$835)</f>
        <v>3.68089669539299</v>
      </c>
    </row>
    <row r="1100" spans="1:8" ht="13.5" thickBot="1">
      <c r="A1100" s="536" t="s">
        <v>57</v>
      </c>
      <c r="B1100" s="255">
        <f>B1093-SUM(B1095:B1098)</f>
        <v>55</v>
      </c>
      <c r="C1100" s="256">
        <f>C1093-SUM(C1095:C1098)</f>
        <v>309.3561705659813</v>
      </c>
      <c r="D1100" s="257">
        <f t="shared" si="21"/>
        <v>5.624657646654206</v>
      </c>
      <c r="E1100" s="258"/>
      <c r="F1100" s="257"/>
      <c r="G1100" s="41"/>
      <c r="H1100" s="42"/>
    </row>
    <row r="1103" spans="1:7" ht="12.75">
      <c r="A1103" s="523" t="s">
        <v>234</v>
      </c>
      <c r="B1103" s="490" t="s">
        <v>229</v>
      </c>
      <c r="C1103" s="490" t="s">
        <v>230</v>
      </c>
      <c r="D1103" s="537" t="s">
        <v>231</v>
      </c>
      <c r="E1103" s="551" t="s">
        <v>232</v>
      </c>
      <c r="F1103" s="551" t="s">
        <v>250</v>
      </c>
      <c r="G1103" s="6"/>
    </row>
    <row r="1104" spans="1:7" ht="13.5" thickBot="1">
      <c r="A1104" s="538" t="s">
        <v>233</v>
      </c>
      <c r="B1104" s="539" t="s">
        <v>53</v>
      </c>
      <c r="C1104" s="539" t="s">
        <v>54</v>
      </c>
      <c r="D1104" s="540" t="s">
        <v>55</v>
      </c>
      <c r="E1104" s="539" t="s">
        <v>56</v>
      </c>
      <c r="F1104" s="539" t="s">
        <v>251</v>
      </c>
      <c r="G1104" s="203"/>
    </row>
    <row r="1105" spans="1:7" ht="13.5" thickTop="1">
      <c r="A1105" s="542">
        <v>45</v>
      </c>
      <c r="B1105" s="204">
        <v>-2</v>
      </c>
      <c r="C1105" s="204">
        <v>2</v>
      </c>
      <c r="D1105" s="203">
        <v>-1</v>
      </c>
      <c r="E1105" s="204">
        <v>1</v>
      </c>
      <c r="F1105" s="260">
        <f>$C$1088+$D$1088*B1105+$E$1088*C1105+$F$1088*D1105+$G$1088*E1105</f>
        <v>11.040656417233556</v>
      </c>
      <c r="G1105" s="259"/>
    </row>
    <row r="1106" spans="1:7" ht="12.75">
      <c r="A1106" s="542">
        <v>60</v>
      </c>
      <c r="B1106" s="204">
        <v>-1</v>
      </c>
      <c r="C1106" s="204">
        <v>-1</v>
      </c>
      <c r="D1106" s="203">
        <v>2</v>
      </c>
      <c r="E1106" s="204">
        <v>-4</v>
      </c>
      <c r="F1106" s="260">
        <f>$C$1088+$D$1088*B1106+$E$1088*C1106+$F$1088*D1106+$G$1088*E1106</f>
        <v>18.59348226757369</v>
      </c>
      <c r="G1106" s="259"/>
    </row>
    <row r="1107" spans="1:7" ht="12.75">
      <c r="A1107" s="542">
        <v>75</v>
      </c>
      <c r="B1107" s="204">
        <v>0</v>
      </c>
      <c r="C1107" s="204">
        <v>-2</v>
      </c>
      <c r="D1107" s="203">
        <v>0</v>
      </c>
      <c r="E1107" s="204">
        <v>6</v>
      </c>
      <c r="F1107" s="260">
        <f>$C$1088+$D$1088*B1107+$E$1088*C1107+$F$1088*D1107+$G$1088*E1107</f>
        <v>20.6355702494331</v>
      </c>
      <c r="G1107" s="259"/>
    </row>
    <row r="1108" spans="1:7" ht="12.75">
      <c r="A1108" s="542">
        <f>A1107+15</f>
        <v>90</v>
      </c>
      <c r="B1108" s="204">
        <v>1</v>
      </c>
      <c r="C1108" s="204">
        <v>-1</v>
      </c>
      <c r="D1108" s="203">
        <v>-2</v>
      </c>
      <c r="E1108" s="204">
        <v>-4</v>
      </c>
      <c r="F1108" s="260">
        <f>$C$1088+$D$1088*B1108+$E$1088*C1108+$F$1088*D1108+$G$1088*E1108</f>
        <v>17.166920362811787</v>
      </c>
      <c r="G1108" s="259"/>
    </row>
    <row r="1109" spans="1:7" ht="12.75">
      <c r="A1109" s="543">
        <f>A1108+15</f>
        <v>105</v>
      </c>
      <c r="B1109" s="208">
        <v>2</v>
      </c>
      <c r="C1109" s="208">
        <v>2</v>
      </c>
      <c r="D1109" s="205">
        <v>1</v>
      </c>
      <c r="E1109" s="208">
        <v>1</v>
      </c>
      <c r="F1109" s="261">
        <f>$C$1088+$D$1088*B1109+$E$1088*C1109+$F$1088*D1109+$G$1088*E1109</f>
        <v>8.187532607709748</v>
      </c>
      <c r="G1109" s="259"/>
    </row>
    <row r="1110" ht="12.75">
      <c r="G1110" s="6"/>
    </row>
    <row r="1133" ht="12.75">
      <c r="A1133" s="64" t="s">
        <v>322</v>
      </c>
    </row>
    <row r="1135" spans="1:2" ht="12.75">
      <c r="A1135" s="489" t="s">
        <v>252</v>
      </c>
      <c r="B1135" s="299">
        <f>D1085/(-2*E1085)</f>
        <v>-0.12943474529257537</v>
      </c>
    </row>
    <row r="1136" spans="1:2" ht="12.75">
      <c r="A1136" s="498" t="s">
        <v>253</v>
      </c>
      <c r="B1136" s="300">
        <f>B1135*15+75</f>
        <v>73.05847882061137</v>
      </c>
    </row>
    <row r="1137" spans="1:2" ht="12.75">
      <c r="A1137" s="498" t="s">
        <v>254</v>
      </c>
      <c r="B1137" s="301">
        <f>B1135^2-2</f>
        <v>-1.9832466467110461</v>
      </c>
    </row>
    <row r="1138" spans="1:2" ht="12.75">
      <c r="A1138" s="498" t="s">
        <v>255</v>
      </c>
      <c r="B1138" s="302">
        <f>$C$1088+D1088*B1135+E1088*B1137</f>
        <v>20.681731918629836</v>
      </c>
    </row>
    <row r="1139" spans="1:5" s="273" customFormat="1" ht="13.5" thickBot="1">
      <c r="A1139" s="558" t="s">
        <v>242</v>
      </c>
      <c r="B1139" s="305" t="s">
        <v>138</v>
      </c>
      <c r="C1139" s="307" t="s">
        <v>312</v>
      </c>
      <c r="D1139" s="307" t="s">
        <v>313</v>
      </c>
      <c r="E1139" s="306" t="s">
        <v>323</v>
      </c>
    </row>
    <row r="1140" spans="1:5" ht="13.5" thickTop="1">
      <c r="A1140" s="530" t="s">
        <v>223</v>
      </c>
      <c r="B1140" s="36">
        <f>C1088</f>
        <v>15.124832380952377</v>
      </c>
      <c r="C1140" s="36">
        <f>D1088</f>
        <v>-0.7132809523809523</v>
      </c>
      <c r="D1140" s="36">
        <f>E1088</f>
        <v>-2.755368934240362</v>
      </c>
      <c r="E1140" s="38"/>
    </row>
    <row r="1141" spans="1:5" ht="12.75">
      <c r="A1141" s="498"/>
      <c r="B1141" s="28"/>
      <c r="C1141" s="39">
        <f>B1135</f>
        <v>-0.12943474529257537</v>
      </c>
      <c r="D1141" s="36">
        <f>B1137</f>
        <v>-1.9832466467110461</v>
      </c>
      <c r="E1141" s="38"/>
    </row>
    <row r="1142" spans="1:5" ht="12.75">
      <c r="A1142" s="531" t="s">
        <v>130</v>
      </c>
      <c r="B1142" s="11">
        <f>B1140</f>
        <v>15.124832380952377</v>
      </c>
      <c r="C1142" s="11">
        <f>C1141*C1140</f>
        <v>0.09232333839347415</v>
      </c>
      <c r="D1142" s="11">
        <f>D1141*D1140</f>
        <v>5.464576199283988</v>
      </c>
      <c r="E1142" s="303">
        <f>SUM(B1142:D1142)</f>
        <v>20.681731918629836</v>
      </c>
    </row>
    <row r="1146" spans="1:2" ht="12.75">
      <c r="A1146" s="1" t="s">
        <v>382</v>
      </c>
      <c r="B1146" s="1" t="s">
        <v>383</v>
      </c>
    </row>
    <row r="1149" spans="1:3" ht="12.75">
      <c r="A1149" s="12"/>
      <c r="B1149" s="490" t="s">
        <v>71</v>
      </c>
      <c r="C1149" s="491" t="s">
        <v>72</v>
      </c>
    </row>
    <row r="1150" spans="1:6" ht="12.75">
      <c r="A1150" s="5"/>
      <c r="B1150" s="559" t="s">
        <v>65</v>
      </c>
      <c r="C1150" s="560" t="s">
        <v>256</v>
      </c>
      <c r="E1150" s="6"/>
      <c r="F1150" s="6"/>
    </row>
    <row r="1151" spans="1:3" ht="12.75">
      <c r="A1151" s="5"/>
      <c r="B1151" s="559" t="s">
        <v>67</v>
      </c>
      <c r="C1151" s="560" t="s">
        <v>257</v>
      </c>
    </row>
    <row r="1152" spans="1:3" ht="13.5" thickBot="1">
      <c r="A1152" s="495" t="s">
        <v>70</v>
      </c>
      <c r="B1152" s="493" t="s">
        <v>258</v>
      </c>
      <c r="C1152" s="494" t="s">
        <v>259</v>
      </c>
    </row>
    <row r="1153" spans="1:3" ht="13.5" thickTop="1">
      <c r="A1153" s="498">
        <v>1970</v>
      </c>
      <c r="B1153" s="18">
        <v>42.825</v>
      </c>
      <c r="C1153" s="62">
        <v>204</v>
      </c>
    </row>
    <row r="1154" spans="1:3" ht="12.75">
      <c r="A1154" s="498">
        <v>1971</v>
      </c>
      <c r="B1154" s="18">
        <v>27.5</v>
      </c>
      <c r="C1154" s="62">
        <v>246</v>
      </c>
    </row>
    <row r="1155" spans="1:3" ht="12.75">
      <c r="A1155" s="498">
        <v>1972</v>
      </c>
      <c r="B1155" s="18">
        <v>20.325</v>
      </c>
      <c r="C1155" s="62">
        <v>222</v>
      </c>
    </row>
    <row r="1156" spans="1:3" ht="12.75">
      <c r="A1156" s="498">
        <v>1973</v>
      </c>
      <c r="B1156" s="18">
        <v>10.05</v>
      </c>
      <c r="C1156" s="62">
        <v>158</v>
      </c>
    </row>
    <row r="1157" spans="1:3" ht="12.75">
      <c r="A1157" s="498">
        <v>1974</v>
      </c>
      <c r="B1157" s="18">
        <v>7.475</v>
      </c>
      <c r="C1157" s="62">
        <v>161</v>
      </c>
    </row>
    <row r="1158" spans="1:3" ht="12.75">
      <c r="A1158" s="498">
        <v>1975</v>
      </c>
      <c r="B1158" s="18">
        <v>7.375</v>
      </c>
      <c r="C1158" s="62">
        <v>172</v>
      </c>
    </row>
    <row r="1159" spans="1:3" ht="12.75">
      <c r="A1159" s="498">
        <v>1976</v>
      </c>
      <c r="B1159" s="18">
        <v>20.625</v>
      </c>
      <c r="C1159" s="62">
        <v>164</v>
      </c>
    </row>
    <row r="1160" spans="1:3" ht="12.75">
      <c r="A1160" s="498">
        <v>1977</v>
      </c>
      <c r="B1160" s="18">
        <v>22.675</v>
      </c>
      <c r="C1160" s="62">
        <v>312</v>
      </c>
    </row>
    <row r="1161" spans="1:3" ht="12.75">
      <c r="A1161" s="498">
        <v>1978</v>
      </c>
      <c r="B1161" s="18">
        <v>31.425</v>
      </c>
      <c r="C1161" s="62">
        <v>251</v>
      </c>
    </row>
    <row r="1162" spans="1:3" ht="12.75">
      <c r="A1162" s="498">
        <v>1979</v>
      </c>
      <c r="B1162" s="18">
        <v>34.275</v>
      </c>
      <c r="C1162" s="62">
        <v>266</v>
      </c>
    </row>
    <row r="1163" spans="1:3" ht="12.75">
      <c r="A1163" s="498">
        <v>1980</v>
      </c>
      <c r="B1163" s="18">
        <v>48.675</v>
      </c>
      <c r="C1163" s="62">
        <v>357</v>
      </c>
    </row>
    <row r="1164" spans="1:3" ht="12.75">
      <c r="A1164" s="498">
        <v>1981</v>
      </c>
      <c r="B1164" s="18">
        <v>50.675</v>
      </c>
      <c r="C1164" s="62">
        <v>311</v>
      </c>
    </row>
    <row r="1165" spans="1:3" ht="12.75">
      <c r="A1165" s="498">
        <v>1982</v>
      </c>
      <c r="B1165" s="18">
        <v>65.925</v>
      </c>
      <c r="C1165" s="62">
        <v>505</v>
      </c>
    </row>
    <row r="1166" spans="1:3" ht="12.75">
      <c r="A1166" s="498">
        <v>1983</v>
      </c>
      <c r="B1166" s="18">
        <v>25</v>
      </c>
      <c r="C1166" s="62">
        <v>843</v>
      </c>
    </row>
    <row r="1167" spans="1:3" ht="12.75">
      <c r="A1167" s="498">
        <v>1984</v>
      </c>
      <c r="B1167" s="18">
        <v>23.8</v>
      </c>
      <c r="C1167" s="62">
        <v>550</v>
      </c>
    </row>
    <row r="1168" spans="1:3" ht="12.75">
      <c r="A1168" s="498">
        <v>1985</v>
      </c>
      <c r="B1168" s="18">
        <v>7.675</v>
      </c>
      <c r="C1168" s="62">
        <v>275</v>
      </c>
    </row>
    <row r="1169" spans="1:3" ht="12.75">
      <c r="A1169" s="498">
        <v>1986</v>
      </c>
      <c r="B1169" s="18">
        <v>15.45</v>
      </c>
      <c r="C1169" s="62">
        <v>191</v>
      </c>
    </row>
    <row r="1170" spans="1:3" ht="12.75">
      <c r="A1170" s="498">
        <v>1987</v>
      </c>
      <c r="B1170" s="18">
        <v>60.25</v>
      </c>
      <c r="C1170" s="62">
        <v>113</v>
      </c>
    </row>
    <row r="1171" spans="1:3" ht="12.75">
      <c r="A1171" s="498">
        <v>1988</v>
      </c>
      <c r="B1171" s="18">
        <v>70.225</v>
      </c>
      <c r="C1171" s="62">
        <v>366</v>
      </c>
    </row>
    <row r="1172" spans="1:3" ht="12.75">
      <c r="A1172" s="498">
        <v>1989</v>
      </c>
      <c r="B1172" s="18">
        <v>68.5</v>
      </c>
      <c r="C1172" s="62">
        <v>491</v>
      </c>
    </row>
    <row r="1173" spans="1:3" ht="12.75">
      <c r="A1173" s="498">
        <v>1990</v>
      </c>
      <c r="B1173" s="18">
        <v>78.35</v>
      </c>
      <c r="C1173" s="62">
        <v>596</v>
      </c>
    </row>
    <row r="1174" spans="1:3" ht="12.75">
      <c r="A1174" s="498">
        <v>1991</v>
      </c>
      <c r="B1174" s="18">
        <v>122.75</v>
      </c>
      <c r="C1174" s="62">
        <v>369</v>
      </c>
    </row>
    <row r="1175" spans="1:3" ht="12.75">
      <c r="A1175" s="498">
        <v>1992</v>
      </c>
      <c r="B1175" s="18">
        <v>84.25</v>
      </c>
      <c r="C1175" s="62">
        <v>694</v>
      </c>
    </row>
    <row r="1176" spans="1:3" ht="12.75">
      <c r="A1176" s="498">
        <v>1993</v>
      </c>
      <c r="B1176" s="18">
        <v>81.025</v>
      </c>
      <c r="C1176" s="62">
        <v>950</v>
      </c>
    </row>
    <row r="1177" spans="1:3" ht="12.75">
      <c r="A1177" s="498">
        <v>1994</v>
      </c>
      <c r="B1177" s="18">
        <v>101.475</v>
      </c>
      <c r="C1177" s="62">
        <v>805</v>
      </c>
    </row>
    <row r="1178" spans="1:3" ht="12.75">
      <c r="A1178" s="498">
        <v>1995</v>
      </c>
      <c r="B1178" s="18">
        <v>117.35</v>
      </c>
      <c r="C1178" s="62">
        <v>869</v>
      </c>
    </row>
    <row r="1179" spans="1:3" ht="12.75">
      <c r="A1179" s="498">
        <v>1996</v>
      </c>
      <c r="B1179" s="18">
        <v>113.725</v>
      </c>
      <c r="C1179" s="62">
        <v>1115</v>
      </c>
    </row>
    <row r="1180" spans="1:3" ht="12.75">
      <c r="A1180" s="498">
        <v>1997</v>
      </c>
      <c r="B1180" s="18">
        <v>103.3</v>
      </c>
      <c r="C1180" s="62">
        <v>916</v>
      </c>
    </row>
    <row r="1181" spans="1:3" ht="12.75">
      <c r="A1181" s="498">
        <v>1998</v>
      </c>
      <c r="B1181" s="18">
        <v>80.15</v>
      </c>
      <c r="C1181" s="62">
        <v>1289</v>
      </c>
    </row>
    <row r="1182" spans="1:3" ht="12.75">
      <c r="A1182" s="499">
        <v>1999</v>
      </c>
      <c r="B1182" s="63">
        <v>113.275</v>
      </c>
      <c r="C1182" s="63">
        <v>1383</v>
      </c>
    </row>
    <row r="1183" spans="1:3" ht="12.75">
      <c r="A1183" s="6"/>
      <c r="B1183" s="56"/>
      <c r="C1183" s="56"/>
    </row>
    <row r="1184" spans="1:3" ht="12.75">
      <c r="A1184" s="6"/>
      <c r="B1184" s="56"/>
      <c r="C1184" s="56"/>
    </row>
    <row r="1185" spans="1:3" ht="12.75">
      <c r="A1185" s="64" t="s">
        <v>325</v>
      </c>
      <c r="B1185" s="273"/>
      <c r="C1185" s="273"/>
    </row>
    <row r="1186" spans="1:2" ht="13.5" thickBot="1">
      <c r="A1186" s="532" t="s">
        <v>260</v>
      </c>
      <c r="B1186" s="529">
        <f>COUNT(A1153:A1182)-2</f>
        <v>28</v>
      </c>
    </row>
    <row r="1187" spans="1:4" ht="12.75">
      <c r="A1187" s="535"/>
      <c r="B1187" s="535" t="s">
        <v>70</v>
      </c>
      <c r="C1187" s="535" t="s">
        <v>258</v>
      </c>
      <c r="D1187" s="535" t="s">
        <v>259</v>
      </c>
    </row>
    <row r="1188" spans="1:6" ht="12.75">
      <c r="A1188" s="532" t="s">
        <v>70</v>
      </c>
      <c r="B1188" s="186">
        <v>1</v>
      </c>
      <c r="C1188" s="186"/>
      <c r="D1188" s="186"/>
      <c r="F1188" s="20"/>
    </row>
    <row r="1189" spans="1:4" ht="12.75">
      <c r="A1189" s="532" t="s">
        <v>258</v>
      </c>
      <c r="B1189" s="186">
        <v>0.8304893932901796</v>
      </c>
      <c r="C1189" s="186">
        <v>1</v>
      </c>
      <c r="D1189" s="186"/>
    </row>
    <row r="1190" spans="1:4" ht="13.5" thickBot="1">
      <c r="A1190" s="533" t="s">
        <v>259</v>
      </c>
      <c r="B1190" s="189">
        <v>0.8159294359280421</v>
      </c>
      <c r="C1190" s="189">
        <v>0.7138929269795454</v>
      </c>
      <c r="D1190" s="189">
        <v>1</v>
      </c>
    </row>
    <row r="1191" spans="1:4" ht="13.5" thickBot="1">
      <c r="A1191" s="561" t="s">
        <v>261</v>
      </c>
      <c r="B1191" s="264"/>
      <c r="C1191" s="264"/>
      <c r="D1191" s="264"/>
    </row>
    <row r="1192" spans="1:2" ht="13.5" thickTop="1">
      <c r="A1192" s="532" t="s">
        <v>70</v>
      </c>
      <c r="B1192" s="268">
        <f>IF(B1188=1,1,FDIST(($B$1186*B1188)/(1-B1188^2),1,$B$1186))</f>
        <v>1</v>
      </c>
    </row>
    <row r="1193" spans="1:3" ht="12.75">
      <c r="A1193" s="532" t="s">
        <v>258</v>
      </c>
      <c r="B1193" s="587">
        <f>IF(B1189=1,1,FDIST(($B$1186*B1189^2)/(1-B1189^2),1,$B$1186))</f>
        <v>1.3600262141361043E-08</v>
      </c>
      <c r="C1193" s="268">
        <f>IF(C1189=1,1,FDIST(($B$1186*C1189)/(1-C1189^2),1,$B$1186))</f>
        <v>1</v>
      </c>
    </row>
    <row r="1194" spans="1:4" ht="13.5" thickBot="1">
      <c r="A1194" s="533" t="s">
        <v>259</v>
      </c>
      <c r="B1194" s="588">
        <f>IF(B1190=1,1,FDIST(($B$1186*B1190^2)/(1-B1190^2),1,$B$1186))</f>
        <v>3.917350567183995E-08</v>
      </c>
      <c r="C1194" s="586">
        <f>IF(C1190=1,1,FDIST(($B$1186*C1190^2)/(1-C1190^2),1,$B$1186))</f>
        <v>9.440764919313648E-06</v>
      </c>
      <c r="D1194" s="269">
        <f>IF(D1190=1,1,FDIST(($B$1186*D1190)/(1-D1190^2),1,$B$1186))</f>
        <v>1</v>
      </c>
    </row>
    <row r="1197" spans="1:2" ht="12.75">
      <c r="A1197" s="565" t="s">
        <v>384</v>
      </c>
      <c r="B1197" s="37">
        <f>COUNT(A1153:A1182)-2</f>
        <v>28</v>
      </c>
    </row>
    <row r="1198" spans="1:2" ht="12.75">
      <c r="A1198" s="506" t="s">
        <v>385</v>
      </c>
      <c r="B1198" s="39">
        <f>C1190^2</f>
        <v>0.5096431111914226</v>
      </c>
    </row>
    <row r="1199" spans="1:2" ht="12.75">
      <c r="A1199" s="506" t="s">
        <v>386</v>
      </c>
      <c r="B1199" s="39">
        <f>(B1197)*B1198</f>
        <v>14.270007113359831</v>
      </c>
    </row>
    <row r="1200" spans="1:2" ht="12.75">
      <c r="A1200" s="506" t="s">
        <v>387</v>
      </c>
      <c r="B1200" s="39">
        <f>(1-B1198)</f>
        <v>0.4903568888085774</v>
      </c>
    </row>
    <row r="1201" spans="1:2" ht="12.75">
      <c r="A1201" s="506" t="s">
        <v>388</v>
      </c>
      <c r="B1201" s="39">
        <f>B1199/B1200</f>
        <v>29.101267748132873</v>
      </c>
    </row>
    <row r="1202" spans="1:2" ht="12.75">
      <c r="A1202" s="508" t="s">
        <v>261</v>
      </c>
      <c r="B1202" s="589">
        <f>FDIST(B1201,1,B1197)</f>
        <v>9.440764919313648E-06</v>
      </c>
    </row>
    <row r="1207" spans="1:4" ht="12.75">
      <c r="A1207" s="308" t="s">
        <v>327</v>
      </c>
      <c r="B1207" s="309"/>
      <c r="C1207" s="309"/>
      <c r="D1207" s="310"/>
    </row>
    <row r="1208" spans="1:4" ht="12.75">
      <c r="A1208" s="523"/>
      <c r="B1208" s="490"/>
      <c r="C1208" s="490" t="s">
        <v>66</v>
      </c>
      <c r="D1208" s="491" t="s">
        <v>262</v>
      </c>
    </row>
    <row r="1209" spans="1:4" ht="13.5" thickBot="1">
      <c r="A1209" s="495" t="s">
        <v>263</v>
      </c>
      <c r="B1209" s="493" t="s">
        <v>264</v>
      </c>
      <c r="C1209" s="493" t="s">
        <v>59</v>
      </c>
      <c r="D1209" s="494" t="s">
        <v>60</v>
      </c>
    </row>
    <row r="1210" spans="1:4" ht="13.5" thickTop="1">
      <c r="A1210" s="498" t="s">
        <v>265</v>
      </c>
      <c r="B1210" s="5">
        <f>COUNT(B1153:B1182)</f>
        <v>30</v>
      </c>
      <c r="C1210" s="28"/>
      <c r="D1210" s="38"/>
    </row>
    <row r="1211" spans="1:4" ht="12.75">
      <c r="A1211" s="498" t="s">
        <v>19</v>
      </c>
      <c r="B1211" s="70">
        <f>AVERAGE(A1153:A1182)</f>
        <v>1984.5</v>
      </c>
      <c r="C1211" s="70">
        <f>AVERAGE(B1153:B1182)</f>
        <v>55.2125</v>
      </c>
      <c r="D1211" s="70">
        <f>AVERAGE(C1153:C1182)</f>
        <v>504.8</v>
      </c>
    </row>
    <row r="1212" spans="1:4" ht="12.75">
      <c r="A1212" s="499" t="s">
        <v>266</v>
      </c>
      <c r="B1212" s="82">
        <f>STDEV(A1153:A1182)</f>
        <v>8.803408430829505</v>
      </c>
      <c r="C1212" s="82">
        <f>STDEV(B1153:B1182)</f>
        <v>37.456729489528634</v>
      </c>
      <c r="D1212" s="82">
        <f>STDEV(C1153:C1182)</f>
        <v>360.68119459978925</v>
      </c>
    </row>
    <row r="1214" ht="12.75">
      <c r="A1214" s="193" t="s">
        <v>326</v>
      </c>
    </row>
    <row r="1215" spans="1:4" ht="12.75">
      <c r="A1215" s="12"/>
      <c r="B1215" s="625" t="s">
        <v>273</v>
      </c>
      <c r="C1215" s="633"/>
      <c r="D1215" s="626"/>
    </row>
    <row r="1216" spans="1:4" ht="13.5" thickBot="1">
      <c r="A1216" s="562" t="s">
        <v>274</v>
      </c>
      <c r="B1216" s="505" t="s">
        <v>70</v>
      </c>
      <c r="C1216" s="505" t="s">
        <v>258</v>
      </c>
      <c r="D1216" s="524" t="s">
        <v>267</v>
      </c>
    </row>
    <row r="1217" spans="1:4" ht="13.5" thickTop="1">
      <c r="A1217" s="498" t="s">
        <v>70</v>
      </c>
      <c r="B1217" s="26" t="s">
        <v>268</v>
      </c>
      <c r="C1217" s="26" t="s">
        <v>268</v>
      </c>
      <c r="D1217" s="26" t="s">
        <v>268</v>
      </c>
    </row>
    <row r="1218" spans="1:4" ht="12.75">
      <c r="A1218" s="498" t="s">
        <v>269</v>
      </c>
      <c r="B1218" s="39">
        <f>B1189*C1212/B1212</f>
        <v>3.5335650723025585</v>
      </c>
      <c r="C1218" s="26" t="s">
        <v>268</v>
      </c>
      <c r="D1218" s="80">
        <f>C1190*D1212/C1212</f>
        <v>6.8742721862918</v>
      </c>
    </row>
    <row r="1219" spans="1:4" ht="12.75">
      <c r="A1219" s="499" t="s">
        <v>270</v>
      </c>
      <c r="B1219" s="82">
        <f>B1190*D1212/B1212</f>
        <v>33.42914349276974</v>
      </c>
      <c r="C1219" s="82">
        <f>C1190*C1212/D1212</f>
        <v>0.07413775558781593</v>
      </c>
      <c r="D1219" s="241" t="s">
        <v>268</v>
      </c>
    </row>
    <row r="1222" spans="1:2" ht="12.75">
      <c r="A1222" s="270" t="s">
        <v>328</v>
      </c>
      <c r="B1222" s="203"/>
    </row>
    <row r="1223" spans="1:5" ht="12.75">
      <c r="A1223" s="563" t="s">
        <v>271</v>
      </c>
      <c r="B1223" s="272"/>
      <c r="C1223" s="24"/>
      <c r="D1223" s="274">
        <f>B1218/C1212</f>
        <v>0.09433725582716447</v>
      </c>
      <c r="E1223" s="99"/>
    </row>
    <row r="1224" spans="1:4" ht="12.75">
      <c r="A1224" s="499" t="s">
        <v>272</v>
      </c>
      <c r="B1224" s="10"/>
      <c r="C1224" s="10"/>
      <c r="D1224" s="84">
        <f>B1219/D1212</f>
        <v>0.09268335580917274</v>
      </c>
    </row>
    <row r="1227" ht="12.75">
      <c r="A1227" t="s">
        <v>329</v>
      </c>
    </row>
    <row r="1228" spans="1:4" ht="12.75">
      <c r="A1228" s="489"/>
      <c r="B1228" s="490" t="s">
        <v>65</v>
      </c>
      <c r="C1228" s="491" t="s">
        <v>256</v>
      </c>
      <c r="D1228" s="544"/>
    </row>
    <row r="1229" spans="1:4" ht="12.75">
      <c r="A1229" s="498"/>
      <c r="B1229" s="559" t="s">
        <v>67</v>
      </c>
      <c r="C1229" s="560" t="s">
        <v>257</v>
      </c>
      <c r="D1229" s="559" t="s">
        <v>275</v>
      </c>
    </row>
    <row r="1230" spans="1:4" ht="13.5" thickBot="1">
      <c r="A1230" s="495" t="s">
        <v>70</v>
      </c>
      <c r="B1230" s="493" t="s">
        <v>258</v>
      </c>
      <c r="C1230" s="494" t="s">
        <v>259</v>
      </c>
      <c r="D1230" s="493" t="s">
        <v>276</v>
      </c>
    </row>
    <row r="1231" spans="1:4" ht="13.5" thickTop="1">
      <c r="A1231" s="498">
        <v>1970</v>
      </c>
      <c r="B1231" s="70">
        <f>$D$1223*(A1231-$B$1211)</f>
        <v>-1.3678902094938847</v>
      </c>
      <c r="C1231" s="175">
        <f>$D$1224*(A1231-$B$1211)</f>
        <v>-1.3439086592330047</v>
      </c>
      <c r="D1231" s="28">
        <f>IF(A1231&lt;2000,A1231-1900,A1231-2000)</f>
        <v>70</v>
      </c>
    </row>
    <row r="1232" spans="1:4" ht="12.75">
      <c r="A1232" s="498">
        <v>1971</v>
      </c>
      <c r="B1232" s="70">
        <f aca="true" t="shared" si="22" ref="B1232:B1265">$D$1223*(A1232-$B$1211)</f>
        <v>-1.2735529536667203</v>
      </c>
      <c r="C1232" s="175">
        <f aca="true" t="shared" si="23" ref="C1232:C1265">$D$1224*(A1232-$B$1211)</f>
        <v>-1.2512253034238319</v>
      </c>
      <c r="D1232" s="28">
        <f aca="true" t="shared" si="24" ref="D1232:D1265">IF(A1232&lt;2000,A1232-1900,A1232-2000)</f>
        <v>71</v>
      </c>
    </row>
    <row r="1233" spans="1:4" ht="12.75">
      <c r="A1233" s="498">
        <v>1972</v>
      </c>
      <c r="B1233" s="70">
        <f t="shared" si="22"/>
        <v>-1.1792156978395558</v>
      </c>
      <c r="C1233" s="175">
        <f t="shared" si="23"/>
        <v>-1.1585419476146592</v>
      </c>
      <c r="D1233" s="28">
        <f t="shared" si="24"/>
        <v>72</v>
      </c>
    </row>
    <row r="1234" spans="1:4" ht="12.75">
      <c r="A1234" s="498">
        <v>1973</v>
      </c>
      <c r="B1234" s="70">
        <f t="shared" si="22"/>
        <v>-1.0848784420123914</v>
      </c>
      <c r="C1234" s="175">
        <f t="shared" si="23"/>
        <v>-1.0658585918054866</v>
      </c>
      <c r="D1234" s="28">
        <f t="shared" si="24"/>
        <v>73</v>
      </c>
    </row>
    <row r="1235" spans="1:4" ht="12.75">
      <c r="A1235" s="498">
        <v>1974</v>
      </c>
      <c r="B1235" s="70">
        <f t="shared" si="22"/>
        <v>-0.9905411861852269</v>
      </c>
      <c r="C1235" s="175">
        <f t="shared" si="23"/>
        <v>-0.9731752359963137</v>
      </c>
      <c r="D1235" s="28">
        <f t="shared" si="24"/>
        <v>74</v>
      </c>
    </row>
    <row r="1236" spans="1:4" ht="12.75">
      <c r="A1236" s="498">
        <v>1975</v>
      </c>
      <c r="B1236" s="70">
        <f t="shared" si="22"/>
        <v>-0.8962039303580625</v>
      </c>
      <c r="C1236" s="175">
        <f t="shared" si="23"/>
        <v>-0.880491880187141</v>
      </c>
      <c r="D1236" s="28">
        <f t="shared" si="24"/>
        <v>75</v>
      </c>
    </row>
    <row r="1237" spans="1:4" ht="12.75">
      <c r="A1237" s="498">
        <v>1976</v>
      </c>
      <c r="B1237" s="70">
        <f t="shared" si="22"/>
        <v>-0.801866674530898</v>
      </c>
      <c r="C1237" s="175">
        <f t="shared" si="23"/>
        <v>-0.7878085243779682</v>
      </c>
      <c r="D1237" s="28">
        <f t="shared" si="24"/>
        <v>76</v>
      </c>
    </row>
    <row r="1238" spans="1:4" ht="12.75">
      <c r="A1238" s="498">
        <v>1977</v>
      </c>
      <c r="B1238" s="70">
        <f t="shared" si="22"/>
        <v>-0.7075294187037335</v>
      </c>
      <c r="C1238" s="175">
        <f t="shared" si="23"/>
        <v>-0.6951251685687956</v>
      </c>
      <c r="D1238" s="28">
        <f t="shared" si="24"/>
        <v>77</v>
      </c>
    </row>
    <row r="1239" spans="1:4" ht="12.75">
      <c r="A1239" s="498">
        <v>1978</v>
      </c>
      <c r="B1239" s="70">
        <f t="shared" si="22"/>
        <v>-0.6131921628765691</v>
      </c>
      <c r="C1239" s="175">
        <f t="shared" si="23"/>
        <v>-0.6024418127596228</v>
      </c>
      <c r="D1239" s="28">
        <f t="shared" si="24"/>
        <v>78</v>
      </c>
    </row>
    <row r="1240" spans="1:4" ht="12.75">
      <c r="A1240" s="498">
        <v>1979</v>
      </c>
      <c r="B1240" s="70">
        <f t="shared" si="22"/>
        <v>-0.5188549070494046</v>
      </c>
      <c r="C1240" s="175">
        <f t="shared" si="23"/>
        <v>-0.5097584569504501</v>
      </c>
      <c r="D1240" s="28">
        <f t="shared" si="24"/>
        <v>79</v>
      </c>
    </row>
    <row r="1241" spans="1:4" ht="12.75">
      <c r="A1241" s="498">
        <v>1980</v>
      </c>
      <c r="B1241" s="70">
        <f t="shared" si="22"/>
        <v>-0.4245176512222401</v>
      </c>
      <c r="C1241" s="175">
        <f t="shared" si="23"/>
        <v>-0.4170751011412773</v>
      </c>
      <c r="D1241" s="28">
        <f t="shared" si="24"/>
        <v>80</v>
      </c>
    </row>
    <row r="1242" spans="1:4" ht="12.75">
      <c r="A1242" s="498">
        <v>1981</v>
      </c>
      <c r="B1242" s="70">
        <f t="shared" si="22"/>
        <v>-0.33018039539507565</v>
      </c>
      <c r="C1242" s="175">
        <f t="shared" si="23"/>
        <v>-0.3243917453321046</v>
      </c>
      <c r="D1242" s="28">
        <f t="shared" si="24"/>
        <v>81</v>
      </c>
    </row>
    <row r="1243" spans="1:4" ht="12.75">
      <c r="A1243" s="498">
        <v>1982</v>
      </c>
      <c r="B1243" s="70">
        <f t="shared" si="22"/>
        <v>-0.23584313956791117</v>
      </c>
      <c r="C1243" s="175">
        <f t="shared" si="23"/>
        <v>-0.23170838952293185</v>
      </c>
      <c r="D1243" s="28">
        <f t="shared" si="24"/>
        <v>82</v>
      </c>
    </row>
    <row r="1244" spans="1:4" ht="12.75">
      <c r="A1244" s="498">
        <v>1983</v>
      </c>
      <c r="B1244" s="70">
        <f t="shared" si="22"/>
        <v>-0.1415058837407467</v>
      </c>
      <c r="C1244" s="175">
        <f t="shared" si="23"/>
        <v>-0.1390250337137591</v>
      </c>
      <c r="D1244" s="28">
        <f t="shared" si="24"/>
        <v>83</v>
      </c>
    </row>
    <row r="1245" spans="1:4" ht="12.75">
      <c r="A1245" s="498">
        <v>1984</v>
      </c>
      <c r="B1245" s="70">
        <f t="shared" si="22"/>
        <v>-0.047168627913582235</v>
      </c>
      <c r="C1245" s="175">
        <f t="shared" si="23"/>
        <v>-0.04634167790458637</v>
      </c>
      <c r="D1245" s="28">
        <f t="shared" si="24"/>
        <v>84</v>
      </c>
    </row>
    <row r="1246" spans="1:4" ht="12.75">
      <c r="A1246" s="498">
        <v>1985</v>
      </c>
      <c r="B1246" s="70">
        <f t="shared" si="22"/>
        <v>0.047168627913582235</v>
      </c>
      <c r="C1246" s="175">
        <f t="shared" si="23"/>
        <v>0.04634167790458637</v>
      </c>
      <c r="D1246" s="28">
        <f t="shared" si="24"/>
        <v>85</v>
      </c>
    </row>
    <row r="1247" spans="1:4" ht="12.75">
      <c r="A1247" s="498">
        <v>1986</v>
      </c>
      <c r="B1247" s="70">
        <f t="shared" si="22"/>
        <v>0.1415058837407467</v>
      </c>
      <c r="C1247" s="175">
        <f t="shared" si="23"/>
        <v>0.1390250337137591</v>
      </c>
      <c r="D1247" s="28">
        <f t="shared" si="24"/>
        <v>86</v>
      </c>
    </row>
    <row r="1248" spans="1:4" ht="12.75">
      <c r="A1248" s="498">
        <v>1987</v>
      </c>
      <c r="B1248" s="70">
        <f t="shared" si="22"/>
        <v>0.23584313956791117</v>
      </c>
      <c r="C1248" s="175">
        <f t="shared" si="23"/>
        <v>0.23170838952293185</v>
      </c>
      <c r="D1248" s="28">
        <f t="shared" si="24"/>
        <v>87</v>
      </c>
    </row>
    <row r="1249" spans="1:4" ht="12.75">
      <c r="A1249" s="498">
        <v>1988</v>
      </c>
      <c r="B1249" s="70">
        <f t="shared" si="22"/>
        <v>0.33018039539507565</v>
      </c>
      <c r="C1249" s="175">
        <f t="shared" si="23"/>
        <v>0.3243917453321046</v>
      </c>
      <c r="D1249" s="28">
        <f t="shared" si="24"/>
        <v>88</v>
      </c>
    </row>
    <row r="1250" spans="1:4" ht="12.75">
      <c r="A1250" s="498">
        <v>1989</v>
      </c>
      <c r="B1250" s="70">
        <f t="shared" si="22"/>
        <v>0.4245176512222401</v>
      </c>
      <c r="C1250" s="175">
        <f t="shared" si="23"/>
        <v>0.4170751011412773</v>
      </c>
      <c r="D1250" s="28">
        <f t="shared" si="24"/>
        <v>89</v>
      </c>
    </row>
    <row r="1251" spans="1:4" ht="12.75">
      <c r="A1251" s="498">
        <v>1990</v>
      </c>
      <c r="B1251" s="70">
        <f t="shared" si="22"/>
        <v>0.5188549070494046</v>
      </c>
      <c r="C1251" s="175">
        <f t="shared" si="23"/>
        <v>0.5097584569504501</v>
      </c>
      <c r="D1251" s="28">
        <f t="shared" si="24"/>
        <v>90</v>
      </c>
    </row>
    <row r="1252" spans="1:4" ht="12.75">
      <c r="A1252" s="498">
        <v>1991</v>
      </c>
      <c r="B1252" s="70">
        <f t="shared" si="22"/>
        <v>0.6131921628765691</v>
      </c>
      <c r="C1252" s="175">
        <f t="shared" si="23"/>
        <v>0.6024418127596228</v>
      </c>
      <c r="D1252" s="28">
        <f t="shared" si="24"/>
        <v>91</v>
      </c>
    </row>
    <row r="1253" spans="1:4" ht="12.75">
      <c r="A1253" s="498">
        <v>1992</v>
      </c>
      <c r="B1253" s="70">
        <f t="shared" si="22"/>
        <v>0.7075294187037335</v>
      </c>
      <c r="C1253" s="175">
        <f t="shared" si="23"/>
        <v>0.6951251685687956</v>
      </c>
      <c r="D1253" s="28">
        <f t="shared" si="24"/>
        <v>92</v>
      </c>
    </row>
    <row r="1254" spans="1:4" ht="12.75">
      <c r="A1254" s="498">
        <v>1993</v>
      </c>
      <c r="B1254" s="70">
        <f t="shared" si="22"/>
        <v>0.801866674530898</v>
      </c>
      <c r="C1254" s="175">
        <f t="shared" si="23"/>
        <v>0.7878085243779682</v>
      </c>
      <c r="D1254" s="28">
        <f t="shared" si="24"/>
        <v>93</v>
      </c>
    </row>
    <row r="1255" spans="1:4" ht="12.75">
      <c r="A1255" s="498">
        <v>1994</v>
      </c>
      <c r="B1255" s="70">
        <f t="shared" si="22"/>
        <v>0.8962039303580625</v>
      </c>
      <c r="C1255" s="175">
        <f t="shared" si="23"/>
        <v>0.880491880187141</v>
      </c>
      <c r="D1255" s="28">
        <f t="shared" si="24"/>
        <v>94</v>
      </c>
    </row>
    <row r="1256" spans="1:4" ht="12.75">
      <c r="A1256" s="498">
        <v>1995</v>
      </c>
      <c r="B1256" s="70">
        <f t="shared" si="22"/>
        <v>0.9905411861852269</v>
      </c>
      <c r="C1256" s="175">
        <f t="shared" si="23"/>
        <v>0.9731752359963137</v>
      </c>
      <c r="D1256" s="28">
        <f t="shared" si="24"/>
        <v>95</v>
      </c>
    </row>
    <row r="1257" spans="1:4" ht="12.75">
      <c r="A1257" s="498">
        <v>1996</v>
      </c>
      <c r="B1257" s="70">
        <f t="shared" si="22"/>
        <v>1.0848784420123914</v>
      </c>
      <c r="C1257" s="175">
        <f t="shared" si="23"/>
        <v>1.0658585918054866</v>
      </c>
      <c r="D1257" s="28">
        <f t="shared" si="24"/>
        <v>96</v>
      </c>
    </row>
    <row r="1258" spans="1:4" ht="12.75">
      <c r="A1258" s="498">
        <v>1997</v>
      </c>
      <c r="B1258" s="70">
        <f t="shared" si="22"/>
        <v>1.1792156978395558</v>
      </c>
      <c r="C1258" s="175">
        <f t="shared" si="23"/>
        <v>1.1585419476146592</v>
      </c>
      <c r="D1258" s="28">
        <f t="shared" si="24"/>
        <v>97</v>
      </c>
    </row>
    <row r="1259" spans="1:4" ht="12.75">
      <c r="A1259" s="498">
        <v>1998</v>
      </c>
      <c r="B1259" s="70">
        <f t="shared" si="22"/>
        <v>1.2735529536667203</v>
      </c>
      <c r="C1259" s="175">
        <f t="shared" si="23"/>
        <v>1.2512253034238319</v>
      </c>
      <c r="D1259" s="28">
        <f t="shared" si="24"/>
        <v>98</v>
      </c>
    </row>
    <row r="1260" spans="1:4" ht="12.75">
      <c r="A1260" s="498">
        <v>1999</v>
      </c>
      <c r="B1260" s="70">
        <f t="shared" si="22"/>
        <v>1.3678902094938847</v>
      </c>
      <c r="C1260" s="175">
        <f t="shared" si="23"/>
        <v>1.3439086592330047</v>
      </c>
      <c r="D1260" s="28">
        <f t="shared" si="24"/>
        <v>99</v>
      </c>
    </row>
    <row r="1261" spans="1:4" ht="12.75">
      <c r="A1261" s="498">
        <f>+A1260+1</f>
        <v>2000</v>
      </c>
      <c r="B1261" s="70">
        <f t="shared" si="22"/>
        <v>1.4622274653210492</v>
      </c>
      <c r="C1261" s="175">
        <f t="shared" si="23"/>
        <v>1.4365920150421774</v>
      </c>
      <c r="D1261" s="28">
        <f t="shared" si="24"/>
        <v>0</v>
      </c>
    </row>
    <row r="1262" spans="1:4" ht="12.75">
      <c r="A1262" s="498">
        <f>+A1261+1</f>
        <v>2001</v>
      </c>
      <c r="B1262" s="70">
        <f t="shared" si="22"/>
        <v>1.5565647211482139</v>
      </c>
      <c r="C1262" s="175">
        <f t="shared" si="23"/>
        <v>1.5292753708513502</v>
      </c>
      <c r="D1262" s="28">
        <f t="shared" si="24"/>
        <v>1</v>
      </c>
    </row>
    <row r="1263" spans="1:4" ht="12.75">
      <c r="A1263" s="498">
        <f>+A1262+1</f>
        <v>2002</v>
      </c>
      <c r="B1263" s="70">
        <f t="shared" si="22"/>
        <v>1.6509019769753783</v>
      </c>
      <c r="C1263" s="175">
        <f t="shared" si="23"/>
        <v>1.6219587266605229</v>
      </c>
      <c r="D1263" s="28">
        <f t="shared" si="24"/>
        <v>2</v>
      </c>
    </row>
    <row r="1264" spans="1:4" ht="12.75">
      <c r="A1264" s="498">
        <f>+A1263+1</f>
        <v>2003</v>
      </c>
      <c r="B1264" s="70">
        <f t="shared" si="22"/>
        <v>1.7452392328025428</v>
      </c>
      <c r="C1264" s="175">
        <f t="shared" si="23"/>
        <v>1.7146420824696957</v>
      </c>
      <c r="D1264" s="28">
        <f t="shared" si="24"/>
        <v>3</v>
      </c>
    </row>
    <row r="1265" spans="1:4" ht="12.75">
      <c r="A1265" s="499">
        <f>+A1264+1</f>
        <v>2004</v>
      </c>
      <c r="B1265" s="177">
        <f t="shared" si="22"/>
        <v>1.8395764886297072</v>
      </c>
      <c r="C1265" s="176">
        <f t="shared" si="23"/>
        <v>1.8073254382788684</v>
      </c>
      <c r="D1265" s="30">
        <f t="shared" si="24"/>
        <v>4</v>
      </c>
    </row>
    <row r="1291" ht="12.75">
      <c r="A1291" s="529" t="s">
        <v>277</v>
      </c>
    </row>
    <row r="1292" ht="12.75">
      <c r="A1292" s="64" t="s">
        <v>330</v>
      </c>
    </row>
    <row r="1293" spans="1:3" ht="12.75">
      <c r="A1293" s="489"/>
      <c r="B1293" s="490" t="s">
        <v>65</v>
      </c>
      <c r="C1293" s="491" t="s">
        <v>256</v>
      </c>
    </row>
    <row r="1294" spans="1:3" ht="12.75">
      <c r="A1294" s="498"/>
      <c r="B1294" s="559" t="s">
        <v>67</v>
      </c>
      <c r="C1294" s="560" t="s">
        <v>257</v>
      </c>
    </row>
    <row r="1295" spans="1:3" ht="13.5" thickBot="1">
      <c r="A1295" s="495" t="s">
        <v>70</v>
      </c>
      <c r="B1295" s="493" t="s">
        <v>258</v>
      </c>
      <c r="C1295" s="494" t="s">
        <v>259</v>
      </c>
    </row>
    <row r="1296" spans="1:3" ht="13.5" thickTop="1">
      <c r="A1296" s="498">
        <f aca="true" t="shared" si="25" ref="A1296:C1299">A1166</f>
        <v>1983</v>
      </c>
      <c r="B1296" s="70">
        <f t="shared" si="25"/>
        <v>25</v>
      </c>
      <c r="C1296" s="175">
        <f t="shared" si="25"/>
        <v>843</v>
      </c>
    </row>
    <row r="1297" spans="1:3" ht="12.75">
      <c r="A1297" s="498">
        <f t="shared" si="25"/>
        <v>1984</v>
      </c>
      <c r="B1297" s="70">
        <f t="shared" si="25"/>
        <v>23.8</v>
      </c>
      <c r="C1297" s="175">
        <f t="shared" si="25"/>
        <v>550</v>
      </c>
    </row>
    <row r="1298" spans="1:3" ht="12.75">
      <c r="A1298" s="498">
        <f t="shared" si="25"/>
        <v>1985</v>
      </c>
      <c r="B1298" s="70">
        <f t="shared" si="25"/>
        <v>7.675</v>
      </c>
      <c r="C1298" s="175">
        <f t="shared" si="25"/>
        <v>275</v>
      </c>
    </row>
    <row r="1299" spans="1:3" ht="12.75">
      <c r="A1299" s="498">
        <f t="shared" si="25"/>
        <v>1986</v>
      </c>
      <c r="B1299" s="70">
        <f t="shared" si="25"/>
        <v>15.45</v>
      </c>
      <c r="C1299" s="175">
        <f t="shared" si="25"/>
        <v>191</v>
      </c>
    </row>
    <row r="1300" spans="1:3" ht="12.75">
      <c r="A1300" s="499">
        <f>A1170</f>
        <v>1987</v>
      </c>
      <c r="B1300" s="177">
        <f>B1170</f>
        <v>60.25</v>
      </c>
      <c r="C1300" s="176">
        <f>C1170</f>
        <v>113</v>
      </c>
    </row>
    <row r="1301" spans="1:3" ht="12.75">
      <c r="A1301" s="499" t="s">
        <v>138</v>
      </c>
      <c r="B1301" s="275">
        <f>AVERAGE(B1296:B1300)</f>
        <v>26.435000000000002</v>
      </c>
      <c r="C1301" s="276">
        <f>AVERAGE(C1296:C1300)</f>
        <v>394.4</v>
      </c>
    </row>
    <row r="1306" ht="12.75">
      <c r="A1306" s="64" t="s">
        <v>331</v>
      </c>
    </row>
    <row r="1307" spans="1:6" ht="12.75">
      <c r="A1307" s="12"/>
      <c r="B1307" s="625" t="s">
        <v>278</v>
      </c>
      <c r="C1307" s="626"/>
      <c r="D1307" s="625" t="s">
        <v>283</v>
      </c>
      <c r="E1307" s="626"/>
      <c r="F1307" s="490" t="s">
        <v>375</v>
      </c>
    </row>
    <row r="1308" spans="1:6" ht="13.5" thickBot="1">
      <c r="A1308" s="495" t="s">
        <v>70</v>
      </c>
      <c r="B1308" s="505" t="s">
        <v>258</v>
      </c>
      <c r="C1308" s="505" t="s">
        <v>259</v>
      </c>
      <c r="D1308" s="505" t="s">
        <v>285</v>
      </c>
      <c r="E1308" s="505" t="s">
        <v>286</v>
      </c>
      <c r="F1308" s="493" t="s">
        <v>374</v>
      </c>
    </row>
    <row r="1309" spans="1:6" ht="13.5" thickTop="1">
      <c r="A1309" s="498">
        <f>A1247</f>
        <v>1986</v>
      </c>
      <c r="B1309" s="39">
        <f>B1169/$B$1301</f>
        <v>0.5844524304898807</v>
      </c>
      <c r="C1309" s="39">
        <f>C1169/$C$1301</f>
        <v>0.4842799188640974</v>
      </c>
      <c r="D1309" s="70">
        <f>$B$1324+$B$1325*A1309</f>
        <v>2.063038720311283</v>
      </c>
      <c r="E1309" s="70">
        <f>$C$1324+$C$1325*A1309</f>
        <v>0.3642422486235546</v>
      </c>
      <c r="F1309" s="28">
        <f>IF(A1309&lt;2000,A1309-1900,A1309-2000)</f>
        <v>86</v>
      </c>
    </row>
    <row r="1310" spans="1:6" ht="12.75">
      <c r="A1310" s="498">
        <f aca="true" t="shared" si="26" ref="A1310:A1322">A1248</f>
        <v>1987</v>
      </c>
      <c r="B1310" s="39">
        <f aca="true" t="shared" si="27" ref="B1310:B1322">B1170/$B$1301</f>
        <v>2.2791753357291467</v>
      </c>
      <c r="C1310" s="39">
        <f aca="true" t="shared" si="28" ref="C1310:C1322">C1170/$C$1301</f>
        <v>0.2865111561866126</v>
      </c>
      <c r="D1310" s="70">
        <f aca="true" t="shared" si="29" ref="D1310:D1322">$B$1324+$B$1325*A1310</f>
        <v>2.2486754781061222</v>
      </c>
      <c r="E1310" s="70">
        <f aca="true" t="shared" si="30" ref="E1310:E1322">$C$1324+$C$1325*A1310</f>
        <v>0.5909268216570354</v>
      </c>
      <c r="F1310" s="28">
        <f aca="true" t="shared" si="31" ref="F1310:F1322">IF(A1310&lt;2000,A1310-1900,A1310-2000)</f>
        <v>87</v>
      </c>
    </row>
    <row r="1311" spans="1:6" ht="12.75">
      <c r="A1311" s="498">
        <f t="shared" si="26"/>
        <v>1988</v>
      </c>
      <c r="B1311" s="39">
        <f t="shared" si="27"/>
        <v>2.656515982598827</v>
      </c>
      <c r="C1311" s="39">
        <f t="shared" si="28"/>
        <v>0.9279918864097364</v>
      </c>
      <c r="D1311" s="70">
        <f t="shared" si="29"/>
        <v>2.434312235901018</v>
      </c>
      <c r="E1311" s="70">
        <f t="shared" si="30"/>
        <v>0.8176113946905161</v>
      </c>
      <c r="F1311" s="28">
        <f t="shared" si="31"/>
        <v>88</v>
      </c>
    </row>
    <row r="1312" spans="1:6" ht="12.75">
      <c r="A1312" s="498">
        <f t="shared" si="26"/>
        <v>1989</v>
      </c>
      <c r="B1312" s="39">
        <f t="shared" si="27"/>
        <v>2.59126158501986</v>
      </c>
      <c r="C1312" s="39">
        <f t="shared" si="28"/>
        <v>1.2449290060851927</v>
      </c>
      <c r="D1312" s="70">
        <f t="shared" si="29"/>
        <v>2.619948993695914</v>
      </c>
      <c r="E1312" s="70">
        <f t="shared" si="30"/>
        <v>1.04429596772394</v>
      </c>
      <c r="F1312" s="28">
        <f t="shared" si="31"/>
        <v>89</v>
      </c>
    </row>
    <row r="1313" spans="1:6" ht="12.75">
      <c r="A1313" s="498">
        <f t="shared" si="26"/>
        <v>1990</v>
      </c>
      <c r="B1313" s="39">
        <f t="shared" si="27"/>
        <v>2.9638736523548324</v>
      </c>
      <c r="C1313" s="39">
        <f t="shared" si="28"/>
        <v>1.5111561866125762</v>
      </c>
      <c r="D1313" s="70">
        <f t="shared" si="29"/>
        <v>2.80558575149081</v>
      </c>
      <c r="E1313" s="70">
        <f t="shared" si="30"/>
        <v>1.2709805407574208</v>
      </c>
      <c r="F1313" s="28">
        <f t="shared" si="31"/>
        <v>90</v>
      </c>
    </row>
    <row r="1314" spans="1:6" ht="12.75">
      <c r="A1314" s="498">
        <f t="shared" si="26"/>
        <v>1991</v>
      </c>
      <c r="B1314" s="39">
        <f t="shared" si="27"/>
        <v>4.643465103083034</v>
      </c>
      <c r="C1314" s="39">
        <f t="shared" si="28"/>
        <v>0.9355983772819473</v>
      </c>
      <c r="D1314" s="70">
        <f t="shared" si="29"/>
        <v>2.991222509285649</v>
      </c>
      <c r="E1314" s="70">
        <f t="shared" si="30"/>
        <v>1.4976651137908448</v>
      </c>
      <c r="F1314" s="28">
        <f t="shared" si="31"/>
        <v>91</v>
      </c>
    </row>
    <row r="1315" spans="1:6" ht="12.75">
      <c r="A1315" s="498">
        <f t="shared" si="26"/>
        <v>1992</v>
      </c>
      <c r="B1315" s="39">
        <f t="shared" si="27"/>
        <v>3.1870626063930394</v>
      </c>
      <c r="C1315" s="39">
        <f t="shared" si="28"/>
        <v>1.7596348884381339</v>
      </c>
      <c r="D1315" s="70">
        <f t="shared" si="29"/>
        <v>3.1768592670805447</v>
      </c>
      <c r="E1315" s="70">
        <f t="shared" si="30"/>
        <v>1.7243496868243255</v>
      </c>
      <c r="F1315" s="28">
        <f t="shared" si="31"/>
        <v>92</v>
      </c>
    </row>
    <row r="1316" spans="1:6" ht="12.75">
      <c r="A1316" s="498">
        <f t="shared" si="26"/>
        <v>1993</v>
      </c>
      <c r="B1316" s="39">
        <f t="shared" si="27"/>
        <v>3.0650652543975787</v>
      </c>
      <c r="C1316" s="39">
        <f t="shared" si="28"/>
        <v>2.4087221095334685</v>
      </c>
      <c r="D1316" s="70">
        <f t="shared" si="29"/>
        <v>3.3624960248754405</v>
      </c>
      <c r="E1316" s="70">
        <f t="shared" si="30"/>
        <v>1.9510342598578063</v>
      </c>
      <c r="F1316" s="28">
        <f t="shared" si="31"/>
        <v>93</v>
      </c>
    </row>
    <row r="1317" spans="1:6" ht="12.75">
      <c r="A1317" s="498">
        <f t="shared" si="26"/>
        <v>1994</v>
      </c>
      <c r="B1317" s="39">
        <f t="shared" si="27"/>
        <v>3.83866086627577</v>
      </c>
      <c r="C1317" s="39">
        <f t="shared" si="28"/>
        <v>2.041075050709939</v>
      </c>
      <c r="D1317" s="70">
        <f t="shared" si="29"/>
        <v>3.5481327826703364</v>
      </c>
      <c r="E1317" s="70">
        <f t="shared" si="30"/>
        <v>2.1777188328912302</v>
      </c>
      <c r="F1317" s="28">
        <f t="shared" si="31"/>
        <v>94</v>
      </c>
    </row>
    <row r="1318" spans="1:6" ht="12.75">
      <c r="A1318" s="498">
        <f t="shared" si="26"/>
        <v>1995</v>
      </c>
      <c r="B1318" s="39">
        <f t="shared" si="27"/>
        <v>4.439190467183657</v>
      </c>
      <c r="C1318" s="39">
        <f t="shared" si="28"/>
        <v>2.203346855983773</v>
      </c>
      <c r="D1318" s="70">
        <f t="shared" si="29"/>
        <v>3.7337695404651754</v>
      </c>
      <c r="E1318" s="70">
        <f t="shared" si="30"/>
        <v>2.404403405924711</v>
      </c>
      <c r="F1318" s="28">
        <f t="shared" si="31"/>
        <v>95</v>
      </c>
    </row>
    <row r="1319" spans="1:6" ht="12.75">
      <c r="A1319" s="498">
        <f t="shared" si="26"/>
        <v>1996</v>
      </c>
      <c r="B1319" s="39">
        <f t="shared" si="27"/>
        <v>4.302061660677132</v>
      </c>
      <c r="C1319" s="39">
        <f t="shared" si="28"/>
        <v>2.827079107505071</v>
      </c>
      <c r="D1319" s="70">
        <f t="shared" si="29"/>
        <v>3.9194062982600713</v>
      </c>
      <c r="E1319" s="70">
        <f t="shared" si="30"/>
        <v>2.631087978958135</v>
      </c>
      <c r="F1319" s="28">
        <f t="shared" si="31"/>
        <v>96</v>
      </c>
    </row>
    <row r="1320" spans="1:6" ht="12.75">
      <c r="A1320" s="498">
        <f t="shared" si="26"/>
        <v>1997</v>
      </c>
      <c r="B1320" s="39">
        <f t="shared" si="27"/>
        <v>3.907698127482504</v>
      </c>
      <c r="C1320" s="39">
        <f t="shared" si="28"/>
        <v>2.3225152129817443</v>
      </c>
      <c r="D1320" s="70">
        <f t="shared" si="29"/>
        <v>4.105043056054967</v>
      </c>
      <c r="E1320" s="70">
        <f t="shared" si="30"/>
        <v>2.8577725519916157</v>
      </c>
      <c r="F1320" s="28">
        <f t="shared" si="31"/>
        <v>97</v>
      </c>
    </row>
    <row r="1321" spans="1:6" ht="12.75">
      <c r="A1321" s="498">
        <f t="shared" si="26"/>
        <v>1998</v>
      </c>
      <c r="B1321" s="39">
        <f t="shared" si="27"/>
        <v>3.0319651976546247</v>
      </c>
      <c r="C1321" s="39">
        <f t="shared" si="28"/>
        <v>3.2682555780933065</v>
      </c>
      <c r="D1321" s="70">
        <f t="shared" si="29"/>
        <v>4.290679813849863</v>
      </c>
      <c r="E1321" s="70">
        <f t="shared" si="30"/>
        <v>3.0844571250250965</v>
      </c>
      <c r="F1321" s="28">
        <f t="shared" si="31"/>
        <v>98</v>
      </c>
    </row>
    <row r="1322" spans="1:6" ht="13.5" thickBot="1">
      <c r="A1322" s="536">
        <f t="shared" si="26"/>
        <v>1999</v>
      </c>
      <c r="B1322" s="40">
        <f t="shared" si="27"/>
        <v>4.285038774352184</v>
      </c>
      <c r="C1322" s="40">
        <f t="shared" si="28"/>
        <v>3.5065922920892496</v>
      </c>
      <c r="D1322" s="277">
        <f t="shared" si="29"/>
        <v>4.476316571644702</v>
      </c>
      <c r="E1322" s="277">
        <f t="shared" si="30"/>
        <v>3.3111416980585204</v>
      </c>
      <c r="F1322" s="41">
        <f t="shared" si="31"/>
        <v>99</v>
      </c>
    </row>
    <row r="1323" spans="1:5" ht="13.5" thickBot="1">
      <c r="A1323" s="492" t="s">
        <v>284</v>
      </c>
      <c r="B1323" s="564" t="str">
        <f>B1308</f>
        <v>I. Vivienda</v>
      </c>
      <c r="C1323" s="564" t="str">
        <f>C1308</f>
        <v>G. Público</v>
      </c>
      <c r="D1323" s="278"/>
      <c r="E1323" s="175"/>
    </row>
    <row r="1324" spans="1:5" ht="13.5" thickTop="1">
      <c r="A1324" s="498" t="s">
        <v>279</v>
      </c>
      <c r="B1324" s="39">
        <f>INTERCEPT(B1309:B1322,$A$1309:$A$1322)</f>
        <v>-366.61156226032335</v>
      </c>
      <c r="C1324" s="39">
        <f>INTERCEPT(C1309:C1322,$A$1309:$A$1322)</f>
        <v>-449.8313197958229</v>
      </c>
      <c r="D1324" s="5"/>
      <c r="E1324" s="38"/>
    </row>
    <row r="1325" spans="1:5" ht="12.75">
      <c r="A1325" s="498" t="s">
        <v>5</v>
      </c>
      <c r="B1325" s="39">
        <f>SLOPE(B1309:B1322,$A$1309:$A$1322)</f>
        <v>0.18563675779488148</v>
      </c>
      <c r="C1325" s="39">
        <f>SLOPE(C1309:C1322,$A$1309:$A$1322)</f>
        <v>0.22668457303345743</v>
      </c>
      <c r="D1325" s="5"/>
      <c r="E1325" s="38"/>
    </row>
    <row r="1326" spans="1:5" ht="12.75">
      <c r="A1326" s="498" t="s">
        <v>280</v>
      </c>
      <c r="B1326" s="39">
        <f>RSQ(B1309:B1322,$A$1309:$A$1322)</f>
        <v>0.5121058333989837</v>
      </c>
      <c r="C1326" s="39">
        <f>RSQ(C1309:C1322,$A$1309:$A$1322)</f>
        <v>0.9069184312695205</v>
      </c>
      <c r="D1326" s="5"/>
      <c r="E1326" s="38"/>
    </row>
    <row r="1327" spans="1:5" ht="12.75">
      <c r="A1327" s="498" t="s">
        <v>260</v>
      </c>
      <c r="B1327" s="28">
        <f>COUNT(A1309:A1322)-2</f>
        <v>12</v>
      </c>
      <c r="C1327" s="28"/>
      <c r="D1327" s="5"/>
      <c r="E1327" s="38"/>
    </row>
    <row r="1328" spans="1:5" ht="12.75">
      <c r="A1328" s="498" t="s">
        <v>281</v>
      </c>
      <c r="B1328" s="39">
        <f>($B$1327*B1326)/(1-B1326)</f>
        <v>12.595498002363296</v>
      </c>
      <c r="C1328" s="39">
        <f>($B$1327*C1326)/(1-C1326)</f>
        <v>116.91918522287015</v>
      </c>
      <c r="D1328" s="5"/>
      <c r="E1328" s="38"/>
    </row>
    <row r="1329" spans="1:5" ht="12.75">
      <c r="A1329" s="499" t="s">
        <v>282</v>
      </c>
      <c r="B1329" s="82">
        <f>FDIST(B1328,1,$B$1327)</f>
        <v>0.004003900410784171</v>
      </c>
      <c r="C1329" s="82">
        <f>FDIST(C1328,1,$B$1327)</f>
        <v>1.529588186676437E-07</v>
      </c>
      <c r="D1329" s="9"/>
      <c r="E1329" s="54"/>
    </row>
    <row r="1353" ht="12.75">
      <c r="A1353" s="1" t="s">
        <v>332</v>
      </c>
    </row>
  </sheetData>
  <sheetProtection password="89E6" sheet="1" objects="1" scenarios="1"/>
  <mergeCells count="17">
    <mergeCell ref="F841:G841"/>
    <mergeCell ref="G826:H826"/>
    <mergeCell ref="D757:G757"/>
    <mergeCell ref="B1215:D1215"/>
    <mergeCell ref="G1007:H1007"/>
    <mergeCell ref="D1023:G1023"/>
    <mergeCell ref="G1091:H1091"/>
    <mergeCell ref="B1307:C1307"/>
    <mergeCell ref="D1307:E1307"/>
    <mergeCell ref="F967:G967"/>
    <mergeCell ref="G373:H373"/>
    <mergeCell ref="G487:H487"/>
    <mergeCell ref="F935:G935"/>
    <mergeCell ref="F873:G873"/>
    <mergeCell ref="F902:G902"/>
    <mergeCell ref="B593:C593"/>
    <mergeCell ref="D593:E593"/>
  </mergeCells>
  <printOptions/>
  <pageMargins left="0.75" right="0.75" top="1" bottom="1" header="0" footer="0"/>
  <pageSetup horizontalDpi="120" verticalDpi="12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5:AQ324"/>
  <sheetViews>
    <sheetView workbookViewId="0" topLeftCell="A275">
      <selection activeCell="B307" sqref="B307"/>
    </sheetView>
  </sheetViews>
  <sheetFormatPr defaultColWidth="11.421875" defaultRowHeight="12.75"/>
  <cols>
    <col min="1" max="4" width="11.421875" style="353" customWidth="1"/>
    <col min="5" max="5" width="12.28125" style="353" bestFit="1" customWidth="1"/>
    <col min="6" max="11" width="11.421875" style="353" customWidth="1"/>
    <col min="12" max="12" width="13.421875" style="353" bestFit="1" customWidth="1"/>
    <col min="13" max="23" width="11.421875" style="353" customWidth="1"/>
    <col min="24" max="54" width="11.421875" style="590" customWidth="1"/>
    <col min="55" max="16384" width="11.421875" style="353" customWidth="1"/>
  </cols>
  <sheetData>
    <row r="1" ht="12.75"/>
    <row r="2" ht="12.75"/>
    <row r="3" ht="12.75"/>
    <row r="4" ht="12.75"/>
    <row r="5" ht="12.75">
      <c r="A5" s="352" t="s">
        <v>0</v>
      </c>
    </row>
    <row r="6" spans="1:5" ht="13.5" thickBot="1">
      <c r="A6" s="354"/>
      <c r="B6" s="355"/>
      <c r="C6" s="355"/>
      <c r="D6" s="356" t="s">
        <v>1</v>
      </c>
      <c r="E6" s="356" t="s">
        <v>2</v>
      </c>
    </row>
    <row r="7" spans="1:5" ht="13.5" thickTop="1">
      <c r="A7" s="357" t="s">
        <v>3</v>
      </c>
      <c r="B7" s="358"/>
      <c r="C7" s="358"/>
      <c r="D7" s="27">
        <v>1.67</v>
      </c>
      <c r="E7" s="359" t="str">
        <f>IF(D11=1,AVERAGE(B16:B100),"    Generer")</f>
        <v>    Generer</v>
      </c>
    </row>
    <row r="8" spans="1:7" ht="12.75">
      <c r="A8" s="357" t="s">
        <v>4</v>
      </c>
      <c r="B8" s="358"/>
      <c r="C8" s="358"/>
      <c r="D8" s="27">
        <v>1.68</v>
      </c>
      <c r="E8" s="359" t="str">
        <f>IF(D11=1,AVERAGE(C16:C100),"    Generar")</f>
        <v>    Generar</v>
      </c>
      <c r="G8" s="360"/>
    </row>
    <row r="9" spans="1:7" ht="12.75">
      <c r="A9" s="357" t="s">
        <v>5</v>
      </c>
      <c r="B9" s="358"/>
      <c r="C9" s="358"/>
      <c r="D9" s="361"/>
      <c r="E9" s="362" t="str">
        <f>IF(D11=1,SLOPE(C16:C100,B16:B100),"    Generar")</f>
        <v>    Generar</v>
      </c>
      <c r="G9" s="360"/>
    </row>
    <row r="10" spans="1:5" ht="13.5" thickBot="1">
      <c r="A10" s="363" t="s">
        <v>6</v>
      </c>
      <c r="B10" s="364"/>
      <c r="C10" s="364"/>
      <c r="D10" s="365"/>
      <c r="E10" s="366" t="str">
        <f>IF(D11=1,RSQ(C16:C100,B16:B100),"    Generar")</f>
        <v>    Generar</v>
      </c>
    </row>
    <row r="11" spans="1:6" ht="12.75">
      <c r="A11" s="367" t="s">
        <v>7</v>
      </c>
      <c r="B11" s="368"/>
      <c r="C11" s="368"/>
      <c r="D11" s="29">
        <v>0</v>
      </c>
      <c r="E11" s="369"/>
      <c r="F11" s="360"/>
    </row>
    <row r="12" ht="12.75"/>
    <row r="13" ht="12.75"/>
    <row r="14" spans="1:24" ht="12.75">
      <c r="A14" s="370"/>
      <c r="B14" s="371" t="s">
        <v>8</v>
      </c>
      <c r="C14" s="372" t="s">
        <v>8</v>
      </c>
      <c r="X14" s="591">
        <f>AVERAGE(X16:X27)</f>
        <v>1.6691666666666667</v>
      </c>
    </row>
    <row r="15" spans="1:28" ht="13.5" thickBot="1">
      <c r="A15" s="373" t="s">
        <v>9</v>
      </c>
      <c r="B15" s="374" t="s">
        <v>10</v>
      </c>
      <c r="C15" s="375" t="s">
        <v>11</v>
      </c>
      <c r="X15" s="590" t="s">
        <v>12</v>
      </c>
      <c r="Y15" s="590" t="s">
        <v>13</v>
      </c>
      <c r="AB15" s="590" t="s">
        <v>14</v>
      </c>
    </row>
    <row r="16" spans="1:35" ht="13.5" thickTop="1">
      <c r="A16" s="357">
        <v>1</v>
      </c>
      <c r="B16" s="376" t="str">
        <f>IF(D11=1,AB16,"       Genere")</f>
        <v>       Genere</v>
      </c>
      <c r="C16" s="377" t="str">
        <f>IF(D11=1,AI16,"    Gener")</f>
        <v>    Gener</v>
      </c>
      <c r="X16" s="591">
        <v>1.63</v>
      </c>
      <c r="Y16" s="591">
        <v>1.7</v>
      </c>
      <c r="Z16" s="592">
        <f ca="1">INT(RAND()*0.23*100)/100</f>
        <v>0.05</v>
      </c>
      <c r="AA16" s="593">
        <f ca="1">INT(RAND()*10/5)</f>
        <v>1</v>
      </c>
      <c r="AB16" s="590">
        <f>IF(AA16=0,D7-Z16,D7+Z16)</f>
        <v>1.72</v>
      </c>
      <c r="AC16" s="593">
        <f aca="true" ca="1" t="shared" si="0" ref="AC16:AC79">INT(RAND()*10/5)</f>
        <v>1</v>
      </c>
      <c r="AD16" s="592">
        <f ca="1">INT(RAND()*0.05*100)/100</f>
        <v>0.01</v>
      </c>
      <c r="AE16" s="590">
        <f>IF(AC16=0,AB16*(0.516-AD16),AB16*(0.516+AD16))</f>
        <v>0.9047200000000001</v>
      </c>
      <c r="AF16" s="592">
        <f ca="1">INT(RAND()*0.25*100)/100</f>
        <v>0.11</v>
      </c>
      <c r="AG16" s="590">
        <f>INT((D8+AE16*(AB16-1.669))*100)/100</f>
        <v>1.72</v>
      </c>
      <c r="AH16" s="593">
        <f aca="true" ca="1" t="shared" si="1" ref="AH16:AH79">INT(RAND()*10/5)</f>
        <v>1</v>
      </c>
      <c r="AI16" s="590">
        <f>INT(IF(AA16=0,AG16+AF16*0.48,AG16-AF16*0.48)*100)/100</f>
        <v>1.66</v>
      </c>
    </row>
    <row r="17" spans="1:35" ht="12.75">
      <c r="A17" s="357">
        <v>2</v>
      </c>
      <c r="B17" s="376" t="str">
        <f>IF(D11=1,AB17,"       Genere")</f>
        <v>       Genere</v>
      </c>
      <c r="C17" s="377" t="str">
        <f>IF(D11=1,AI17,"    Gener")</f>
        <v>    Gener</v>
      </c>
      <c r="X17" s="591">
        <v>1.58</v>
      </c>
      <c r="Y17" s="591">
        <v>1.65</v>
      </c>
      <c r="Z17" s="592">
        <f aca="true" ca="1" t="shared" si="2" ref="Z17:Z80">INT(RAND()*0.23*100)/100</f>
        <v>0.07</v>
      </c>
      <c r="AA17" s="593">
        <f aca="true" ca="1" t="shared" si="3" ref="AA17:AA80">INT(RAND()*10/5)</f>
        <v>1</v>
      </c>
      <c r="AB17" s="590">
        <f>IF(AA17=0,D7-Z17,D7+Z17)</f>
        <v>1.74</v>
      </c>
      <c r="AC17" s="593">
        <f ca="1" t="shared" si="0"/>
        <v>0</v>
      </c>
      <c r="AD17" s="592">
        <f aca="true" ca="1" t="shared" si="4" ref="AD17:AD80">INT(RAND()*0.05*100)/100</f>
        <v>0.02</v>
      </c>
      <c r="AE17" s="590">
        <f aca="true" t="shared" si="5" ref="AE17:AE80">IF(AC17=0,AB17*(0.516-AD17),AB17*(0.516+AD17))</f>
        <v>0.86304</v>
      </c>
      <c r="AF17" s="592">
        <f aca="true" ca="1" t="shared" si="6" ref="AF17:AF80">INT(RAND()*0.25*100)/100</f>
        <v>0.08</v>
      </c>
      <c r="AG17" s="590">
        <f>INT((D8+AE17*(AB17-1.669))*100)/100</f>
        <v>1.74</v>
      </c>
      <c r="AH17" s="593">
        <f ca="1" t="shared" si="1"/>
        <v>0</v>
      </c>
      <c r="AI17" s="590">
        <f aca="true" t="shared" si="7" ref="AI17:AI80">INT(IF(AA17=0,AG17+AF17*0.48,AG17-AF17*0.48)*100)/100</f>
        <v>1.7</v>
      </c>
    </row>
    <row r="18" spans="1:35" ht="12.75">
      <c r="A18" s="357">
        <v>3</v>
      </c>
      <c r="B18" s="376" t="str">
        <f>IF(D11=1,AB18,"       Genere")</f>
        <v>       Genere</v>
      </c>
      <c r="C18" s="377" t="str">
        <f>IF(D11=1,AI18,"    Gener")</f>
        <v>    Gener</v>
      </c>
      <c r="X18" s="591">
        <v>1.68</v>
      </c>
      <c r="Y18" s="591">
        <v>1.7</v>
      </c>
      <c r="Z18" s="592">
        <f ca="1" t="shared" si="2"/>
        <v>0.05</v>
      </c>
      <c r="AA18" s="593">
        <f ca="1" t="shared" si="3"/>
        <v>0</v>
      </c>
      <c r="AB18" s="590">
        <f>IF(AA18=0,D7-Z18,D7+Z18)</f>
        <v>1.6199999999999999</v>
      </c>
      <c r="AC18" s="593">
        <f ca="1" t="shared" si="0"/>
        <v>0</v>
      </c>
      <c r="AD18" s="592">
        <f ca="1" t="shared" si="4"/>
        <v>0.01</v>
      </c>
      <c r="AE18" s="590">
        <f t="shared" si="5"/>
        <v>0.81972</v>
      </c>
      <c r="AF18" s="592">
        <f ca="1" t="shared" si="6"/>
        <v>0.11</v>
      </c>
      <c r="AG18" s="590">
        <f>INT((D8+AE18*(AB18-1.669))*100)/100</f>
        <v>1.63</v>
      </c>
      <c r="AH18" s="593">
        <f ca="1" t="shared" si="1"/>
        <v>0</v>
      </c>
      <c r="AI18" s="590">
        <f t="shared" si="7"/>
        <v>1.68</v>
      </c>
    </row>
    <row r="19" spans="1:35" ht="12.75">
      <c r="A19" s="357">
        <v>4</v>
      </c>
      <c r="B19" s="376" t="str">
        <f>IF(D11=1,AB19,"       Genere")</f>
        <v>       Genere</v>
      </c>
      <c r="C19" s="377" t="str">
        <f>IF(D11=1,AI19,"    Gener")</f>
        <v>    Gener</v>
      </c>
      <c r="X19" s="591">
        <v>1.6</v>
      </c>
      <c r="Y19" s="591">
        <v>1.63</v>
      </c>
      <c r="Z19" s="592">
        <f ca="1" t="shared" si="2"/>
        <v>0.03</v>
      </c>
      <c r="AA19" s="593">
        <f ca="1" t="shared" si="3"/>
        <v>0</v>
      </c>
      <c r="AB19" s="590">
        <f>IF(AA19=0,D7-Z19,D7+Z19)</f>
        <v>1.64</v>
      </c>
      <c r="AC19" s="593">
        <f ca="1" t="shared" si="0"/>
        <v>1</v>
      </c>
      <c r="AD19" s="592">
        <f ca="1" t="shared" si="4"/>
        <v>0.04</v>
      </c>
      <c r="AE19" s="590">
        <f t="shared" si="5"/>
        <v>0.91184</v>
      </c>
      <c r="AF19" s="592">
        <f ca="1" t="shared" si="6"/>
        <v>0.11</v>
      </c>
      <c r="AG19" s="590">
        <f>INT((D8+AE19*(AB19-1.669))*100)/100</f>
        <v>1.65</v>
      </c>
      <c r="AH19" s="593">
        <f ca="1" t="shared" si="1"/>
        <v>1</v>
      </c>
      <c r="AI19" s="590">
        <f t="shared" si="7"/>
        <v>1.7</v>
      </c>
    </row>
    <row r="20" spans="1:35" ht="12.75">
      <c r="A20" s="357">
        <v>5</v>
      </c>
      <c r="B20" s="376" t="str">
        <f>IF(D11=1,AB20,"       Genere")</f>
        <v>       Genere</v>
      </c>
      <c r="C20" s="377" t="str">
        <f>IF(D11=1,AI20,"    Gener")</f>
        <v>    Gener</v>
      </c>
      <c r="X20" s="591">
        <v>1.7</v>
      </c>
      <c r="Y20" s="591">
        <v>1.73</v>
      </c>
      <c r="Z20" s="592">
        <f ca="1" t="shared" si="2"/>
        <v>0.19</v>
      </c>
      <c r="AA20" s="593">
        <f ca="1" t="shared" si="3"/>
        <v>0</v>
      </c>
      <c r="AB20" s="590">
        <f>IF(AA20=0,D7-Z20,D7+Z20)</f>
        <v>1.48</v>
      </c>
      <c r="AC20" s="593">
        <f ca="1" t="shared" si="0"/>
        <v>1</v>
      </c>
      <c r="AD20" s="592">
        <f ca="1" t="shared" si="4"/>
        <v>0.03</v>
      </c>
      <c r="AE20" s="590">
        <f t="shared" si="5"/>
        <v>0.80808</v>
      </c>
      <c r="AF20" s="592">
        <f ca="1" t="shared" si="6"/>
        <v>0.22</v>
      </c>
      <c r="AG20" s="590">
        <f>INT((D8+AE20*(AB20-1.669))*100)/100</f>
        <v>1.52</v>
      </c>
      <c r="AH20" s="593">
        <f ca="1" t="shared" si="1"/>
        <v>1</v>
      </c>
      <c r="AI20" s="590">
        <f t="shared" si="7"/>
        <v>1.62</v>
      </c>
    </row>
    <row r="21" spans="1:35" ht="12.75">
      <c r="A21" s="357">
        <v>6</v>
      </c>
      <c r="B21" s="376" t="str">
        <f>IF(D11=1,AB21,"       Genere")</f>
        <v>       Genere</v>
      </c>
      <c r="C21" s="377" t="str">
        <f>IF(D11=1,AI21,"    Gener")</f>
        <v>    Gener</v>
      </c>
      <c r="X21" s="591">
        <v>1.55</v>
      </c>
      <c r="Y21" s="591">
        <v>1.65</v>
      </c>
      <c r="Z21" s="592">
        <f ca="1" t="shared" si="2"/>
        <v>0.09</v>
      </c>
      <c r="AA21" s="593">
        <f ca="1" t="shared" si="3"/>
        <v>1</v>
      </c>
      <c r="AB21" s="590">
        <f>IF(AA21=0,D7-Z21,D7+Z21)</f>
        <v>1.76</v>
      </c>
      <c r="AC21" s="593">
        <f ca="1" t="shared" si="0"/>
        <v>1</v>
      </c>
      <c r="AD21" s="592">
        <f ca="1" t="shared" si="4"/>
        <v>0.02</v>
      </c>
      <c r="AE21" s="590">
        <f t="shared" si="5"/>
        <v>0.9433600000000001</v>
      </c>
      <c r="AF21" s="592">
        <f ca="1" t="shared" si="6"/>
        <v>0.16</v>
      </c>
      <c r="AG21" s="590">
        <f>INT((D8+AE21*(AB21-1.669))*100)/100</f>
        <v>1.76</v>
      </c>
      <c r="AH21" s="593">
        <f ca="1" t="shared" si="1"/>
        <v>1</v>
      </c>
      <c r="AI21" s="590">
        <f t="shared" si="7"/>
        <v>1.68</v>
      </c>
    </row>
    <row r="22" spans="1:35" ht="12.75">
      <c r="A22" s="357">
        <v>7</v>
      </c>
      <c r="B22" s="376" t="str">
        <f>IF(D11=1,AB22,"       Genere")</f>
        <v>       Genere</v>
      </c>
      <c r="C22" s="377" t="str">
        <f>IF(D11=1,AI22,"    Gener")</f>
        <v>    Gener</v>
      </c>
      <c r="X22" s="591">
        <v>1.75</v>
      </c>
      <c r="Y22" s="591">
        <v>1.7</v>
      </c>
      <c r="Z22" s="592">
        <f ca="1" t="shared" si="2"/>
        <v>0.05</v>
      </c>
      <c r="AA22" s="593">
        <f ca="1" t="shared" si="3"/>
        <v>0</v>
      </c>
      <c r="AB22" s="590">
        <f>IF(AA22=0,D7-Z22,D7+Z22)</f>
        <v>1.6199999999999999</v>
      </c>
      <c r="AC22" s="593">
        <f ca="1" t="shared" si="0"/>
        <v>0</v>
      </c>
      <c r="AD22" s="592">
        <f ca="1" t="shared" si="4"/>
        <v>0.01</v>
      </c>
      <c r="AE22" s="590">
        <f t="shared" si="5"/>
        <v>0.81972</v>
      </c>
      <c r="AF22" s="592">
        <f ca="1" t="shared" si="6"/>
        <v>0.18</v>
      </c>
      <c r="AG22" s="590">
        <f>INT((D8+AE22*(AB22-1.669))*100)/100</f>
        <v>1.63</v>
      </c>
      <c r="AH22" s="593">
        <f ca="1" t="shared" si="1"/>
        <v>0</v>
      </c>
      <c r="AI22" s="590">
        <f t="shared" si="7"/>
        <v>1.71</v>
      </c>
    </row>
    <row r="23" spans="1:35" ht="12.75">
      <c r="A23" s="357">
        <v>8</v>
      </c>
      <c r="B23" s="376" t="str">
        <f>IF(D11=1,AB23,"       Genere")</f>
        <v>       Genere</v>
      </c>
      <c r="C23" s="377" t="str">
        <f>IF(D11=1,AI23,"    Gener")</f>
        <v>    Gener</v>
      </c>
      <c r="X23" s="591">
        <v>1.65</v>
      </c>
      <c r="Y23" s="591">
        <v>1.63</v>
      </c>
      <c r="Z23" s="592">
        <f ca="1" t="shared" si="2"/>
        <v>0.04</v>
      </c>
      <c r="AA23" s="593">
        <f ca="1" t="shared" si="3"/>
        <v>0</v>
      </c>
      <c r="AB23" s="590">
        <f>IF(AA23=0,D7-Z23,D7+Z23)</f>
        <v>1.63</v>
      </c>
      <c r="AC23" s="593">
        <f ca="1" t="shared" si="0"/>
        <v>0</v>
      </c>
      <c r="AD23" s="592">
        <f ca="1" t="shared" si="4"/>
        <v>0.01</v>
      </c>
      <c r="AE23" s="590">
        <f t="shared" si="5"/>
        <v>0.82478</v>
      </c>
      <c r="AF23" s="592">
        <f ca="1" t="shared" si="6"/>
        <v>0.04</v>
      </c>
      <c r="AG23" s="590">
        <f>INT((D8+AE23*(AB23-1.669))*100)/100</f>
        <v>1.64</v>
      </c>
      <c r="AH23" s="593">
        <f ca="1" t="shared" si="1"/>
        <v>0</v>
      </c>
      <c r="AI23" s="590">
        <f t="shared" si="7"/>
        <v>1.65</v>
      </c>
    </row>
    <row r="24" spans="1:35" ht="12.75">
      <c r="A24" s="357">
        <v>9</v>
      </c>
      <c r="B24" s="376" t="str">
        <f>IF(D11=1,AB24,"       Genere")</f>
        <v>       Genere</v>
      </c>
      <c r="C24" s="377" t="str">
        <f>IF(D11=1,AI24,"    Gener")</f>
        <v>    Gener</v>
      </c>
      <c r="X24" s="591">
        <v>1.7</v>
      </c>
      <c r="Y24" s="591">
        <v>1.78</v>
      </c>
      <c r="Z24" s="592">
        <f ca="1" t="shared" si="2"/>
        <v>0.08</v>
      </c>
      <c r="AA24" s="593">
        <f ca="1" t="shared" si="3"/>
        <v>1</v>
      </c>
      <c r="AB24" s="590">
        <f>IF(AA24=0,D7-Z24,D7+Z24)</f>
        <v>1.75</v>
      </c>
      <c r="AC24" s="593">
        <f ca="1" t="shared" si="0"/>
        <v>0</v>
      </c>
      <c r="AD24" s="592">
        <f ca="1" t="shared" si="4"/>
        <v>0.03</v>
      </c>
      <c r="AE24" s="590">
        <f t="shared" si="5"/>
        <v>0.8505</v>
      </c>
      <c r="AF24" s="592">
        <f ca="1" t="shared" si="6"/>
        <v>0.14</v>
      </c>
      <c r="AG24" s="590">
        <f>INT((D8+AE24*(AB24-1.669))*100)/100</f>
        <v>1.74</v>
      </c>
      <c r="AH24" s="593">
        <f ca="1" t="shared" si="1"/>
        <v>1</v>
      </c>
      <c r="AI24" s="590">
        <f t="shared" si="7"/>
        <v>1.67</v>
      </c>
    </row>
    <row r="25" spans="1:35" ht="12.75">
      <c r="A25" s="357">
        <v>10</v>
      </c>
      <c r="B25" s="376" t="str">
        <f>IF(D11=1,AB25,"       Genere")</f>
        <v>       Genere</v>
      </c>
      <c r="C25" s="377" t="str">
        <f>IF(D11=1,AI25,"    Gener")</f>
        <v>    Gener</v>
      </c>
      <c r="X25" s="591">
        <v>1.68</v>
      </c>
      <c r="Y25" s="591">
        <v>1.68</v>
      </c>
      <c r="Z25" s="592">
        <f ca="1" t="shared" si="2"/>
        <v>0</v>
      </c>
      <c r="AA25" s="593">
        <f ca="1" t="shared" si="3"/>
        <v>1</v>
      </c>
      <c r="AB25" s="590">
        <f>IF(AA25=0,D7-Z25,D7+Z25)</f>
        <v>1.67</v>
      </c>
      <c r="AC25" s="593">
        <f ca="1" t="shared" si="0"/>
        <v>1</v>
      </c>
      <c r="AD25" s="592">
        <f ca="1" t="shared" si="4"/>
        <v>0.01</v>
      </c>
      <c r="AE25" s="590">
        <f t="shared" si="5"/>
        <v>0.87842</v>
      </c>
      <c r="AF25" s="592">
        <f ca="1" t="shared" si="6"/>
        <v>0.15</v>
      </c>
      <c r="AG25" s="590">
        <f>INT((D8+AE25*(AB25-1.669))*100)/100</f>
        <v>1.68</v>
      </c>
      <c r="AH25" s="593">
        <f ca="1" t="shared" si="1"/>
        <v>0</v>
      </c>
      <c r="AI25" s="590">
        <f t="shared" si="7"/>
        <v>1.6</v>
      </c>
    </row>
    <row r="26" spans="1:35" ht="12.75">
      <c r="A26" s="357">
        <v>11</v>
      </c>
      <c r="B26" s="376" t="str">
        <f>IF(D11=1,AB26,"       Genere")</f>
        <v>       Genere</v>
      </c>
      <c r="C26" s="377" t="str">
        <f>IF(D11=1,AI26,"    Gener")</f>
        <v>    Gener</v>
      </c>
      <c r="X26" s="591">
        <v>1.73</v>
      </c>
      <c r="Y26" s="591">
        <v>1.7</v>
      </c>
      <c r="Z26" s="592">
        <f ca="1" t="shared" si="2"/>
        <v>0.19</v>
      </c>
      <c r="AA26" s="593">
        <f ca="1" t="shared" si="3"/>
        <v>1</v>
      </c>
      <c r="AB26" s="590">
        <f>IF(AA26=0,D7-Z26,D7+Z26)</f>
        <v>1.8599999999999999</v>
      </c>
      <c r="AC26" s="593">
        <f ca="1" t="shared" si="0"/>
        <v>0</v>
      </c>
      <c r="AD26" s="592">
        <f ca="1" t="shared" si="4"/>
        <v>0.02</v>
      </c>
      <c r="AE26" s="590">
        <f t="shared" si="5"/>
        <v>0.9225599999999999</v>
      </c>
      <c r="AF26" s="592">
        <f ca="1" t="shared" si="6"/>
        <v>0.03</v>
      </c>
      <c r="AG26" s="590">
        <f>INT((D8+AE26*(AB26-1.669))*100)/100</f>
        <v>1.85</v>
      </c>
      <c r="AH26" s="593">
        <f ca="1" t="shared" si="1"/>
        <v>0</v>
      </c>
      <c r="AI26" s="590">
        <f t="shared" si="7"/>
        <v>1.83</v>
      </c>
    </row>
    <row r="27" spans="1:35" ht="12.75">
      <c r="A27" s="357">
        <v>12</v>
      </c>
      <c r="B27" s="376" t="str">
        <f>IF(D11=1,AB27,"       Genere")</f>
        <v>       Genere</v>
      </c>
      <c r="C27" s="377" t="str">
        <f>IF(D11=1,AI27,"    Gener")</f>
        <v>    Gener</v>
      </c>
      <c r="X27" s="591">
        <v>1.78</v>
      </c>
      <c r="Y27" s="591">
        <v>1.75</v>
      </c>
      <c r="Z27" s="592">
        <f ca="1" t="shared" si="2"/>
        <v>0.08</v>
      </c>
      <c r="AA27" s="593">
        <f ca="1" t="shared" si="3"/>
        <v>0</v>
      </c>
      <c r="AB27" s="590">
        <f>IF(AA27=0,D7-Z27,D7+Z27)</f>
        <v>1.5899999999999999</v>
      </c>
      <c r="AC27" s="593">
        <f ca="1" t="shared" si="0"/>
        <v>0</v>
      </c>
      <c r="AD27" s="592">
        <f ca="1" t="shared" si="4"/>
        <v>0.02</v>
      </c>
      <c r="AE27" s="590">
        <f t="shared" si="5"/>
        <v>0.7886399999999999</v>
      </c>
      <c r="AF27" s="592">
        <f ca="1" t="shared" si="6"/>
        <v>0.18</v>
      </c>
      <c r="AG27" s="590">
        <f>INT((D8+AE27*(AB27-1.669))*100)/100</f>
        <v>1.61</v>
      </c>
      <c r="AH27" s="593">
        <f ca="1" t="shared" si="1"/>
        <v>0</v>
      </c>
      <c r="AI27" s="590">
        <f t="shared" si="7"/>
        <v>1.69</v>
      </c>
    </row>
    <row r="28" spans="1:35" ht="12.75">
      <c r="A28" s="357">
        <v>13</v>
      </c>
      <c r="B28" s="376" t="str">
        <f>IF(D11=1,AB28,"       Genere")</f>
        <v>       Genere</v>
      </c>
      <c r="C28" s="377" t="str">
        <f>IF(D11=1,AI28,"    Gener")</f>
        <v>    Gener</v>
      </c>
      <c r="Z28" s="592">
        <f ca="1" t="shared" si="2"/>
        <v>0.15</v>
      </c>
      <c r="AA28" s="593">
        <f ca="1" t="shared" si="3"/>
        <v>1</v>
      </c>
      <c r="AB28" s="590">
        <f>IF(AA28=0,D7-Z28,D7+Z28)</f>
        <v>1.8199999999999998</v>
      </c>
      <c r="AC28" s="593">
        <f ca="1" t="shared" si="0"/>
        <v>0</v>
      </c>
      <c r="AD28" s="592">
        <f ca="1" t="shared" si="4"/>
        <v>0.03</v>
      </c>
      <c r="AE28" s="590">
        <f t="shared" si="5"/>
        <v>0.8845199999999999</v>
      </c>
      <c r="AF28" s="592">
        <f ca="1" t="shared" si="6"/>
        <v>0.18</v>
      </c>
      <c r="AG28" s="590">
        <f>INT((D8+AE28*(AB28-1.669))*100)/100</f>
        <v>1.81</v>
      </c>
      <c r="AH28" s="593">
        <f ca="1" t="shared" si="1"/>
        <v>1</v>
      </c>
      <c r="AI28" s="590">
        <f t="shared" si="7"/>
        <v>1.72</v>
      </c>
    </row>
    <row r="29" spans="1:35" ht="12.75">
      <c r="A29" s="357">
        <v>14</v>
      </c>
      <c r="B29" s="376" t="str">
        <f>IF(D11=1,AB29,"       Genere")</f>
        <v>       Genere</v>
      </c>
      <c r="C29" s="377" t="str">
        <f>IF(D11=1,AI29,"    Gener")</f>
        <v>    Gener</v>
      </c>
      <c r="Z29" s="592">
        <f ca="1" t="shared" si="2"/>
        <v>0.06</v>
      </c>
      <c r="AA29" s="593">
        <f ca="1" t="shared" si="3"/>
        <v>0</v>
      </c>
      <c r="AB29" s="590">
        <f>IF(AA29=0,D7-Z29,D7+Z29)</f>
        <v>1.6099999999999999</v>
      </c>
      <c r="AC29" s="593">
        <f ca="1" t="shared" si="0"/>
        <v>0</v>
      </c>
      <c r="AD29" s="592">
        <f ca="1" t="shared" si="4"/>
        <v>0</v>
      </c>
      <c r="AE29" s="590">
        <f t="shared" si="5"/>
        <v>0.8307599999999999</v>
      </c>
      <c r="AF29" s="592">
        <f ca="1" t="shared" si="6"/>
        <v>0.21</v>
      </c>
      <c r="AG29" s="590">
        <f>INT((D8+AE29*(AB29-1.669))*100)/100</f>
        <v>1.63</v>
      </c>
      <c r="AH29" s="593">
        <f ca="1" t="shared" si="1"/>
        <v>0</v>
      </c>
      <c r="AI29" s="590">
        <f t="shared" si="7"/>
        <v>1.73</v>
      </c>
    </row>
    <row r="30" spans="1:35" ht="12.75">
      <c r="A30" s="357">
        <v>15</v>
      </c>
      <c r="B30" s="376" t="str">
        <f>IF(D11=1,AB30,"       Genere")</f>
        <v>       Genere</v>
      </c>
      <c r="C30" s="377" t="str">
        <f>IF(D11=1,AI30,"    Gener")</f>
        <v>    Gener</v>
      </c>
      <c r="Z30" s="592">
        <f ca="1" t="shared" si="2"/>
        <v>0.03</v>
      </c>
      <c r="AA30" s="593">
        <f ca="1" t="shared" si="3"/>
        <v>1</v>
      </c>
      <c r="AB30" s="590">
        <f>IF(AA30=0,D7-Z30,D7+Z30)</f>
        <v>1.7</v>
      </c>
      <c r="AC30" s="593">
        <f ca="1" t="shared" si="0"/>
        <v>1</v>
      </c>
      <c r="AD30" s="592">
        <f ca="1" t="shared" si="4"/>
        <v>0.01</v>
      </c>
      <c r="AE30" s="590">
        <f t="shared" si="5"/>
        <v>0.8942</v>
      </c>
      <c r="AF30" s="592">
        <f ca="1" t="shared" si="6"/>
        <v>0.01</v>
      </c>
      <c r="AG30" s="590">
        <f>INT((D8+AE30*(AB30-1.669))*100)/100</f>
        <v>1.7</v>
      </c>
      <c r="AH30" s="593">
        <f ca="1" t="shared" si="1"/>
        <v>1</v>
      </c>
      <c r="AI30" s="590">
        <f t="shared" si="7"/>
        <v>1.69</v>
      </c>
    </row>
    <row r="31" spans="1:35" ht="12.75">
      <c r="A31" s="357">
        <v>16</v>
      </c>
      <c r="B31" s="376" t="str">
        <f>IF(D11=1,AB31,"       Genere")</f>
        <v>       Genere</v>
      </c>
      <c r="C31" s="377" t="str">
        <f>IF(D11=1,AI31,"    Gener")</f>
        <v>    Gener</v>
      </c>
      <c r="Z31" s="592">
        <f ca="1" t="shared" si="2"/>
        <v>0.03</v>
      </c>
      <c r="AA31" s="593">
        <f ca="1" t="shared" si="3"/>
        <v>0</v>
      </c>
      <c r="AB31" s="590">
        <f>IF(AA31=0,D7-Z31,D7+Z31)</f>
        <v>1.64</v>
      </c>
      <c r="AC31" s="593">
        <f ca="1" t="shared" si="0"/>
        <v>0</v>
      </c>
      <c r="AD31" s="592">
        <f ca="1" t="shared" si="4"/>
        <v>0.02</v>
      </c>
      <c r="AE31" s="590">
        <f t="shared" si="5"/>
        <v>0.8134399999999999</v>
      </c>
      <c r="AF31" s="592">
        <f ca="1" t="shared" si="6"/>
        <v>0.09</v>
      </c>
      <c r="AG31" s="590">
        <f>INT((D8+AE31*(AB31-1.669))*100)/100</f>
        <v>1.65</v>
      </c>
      <c r="AH31" s="593">
        <f ca="1" t="shared" si="1"/>
        <v>0</v>
      </c>
      <c r="AI31" s="590">
        <f t="shared" si="7"/>
        <v>1.69</v>
      </c>
    </row>
    <row r="32" spans="1:35" ht="12.75">
      <c r="A32" s="357">
        <v>17</v>
      </c>
      <c r="B32" s="376" t="str">
        <f>IF(D11=1,AB32,"       Genere")</f>
        <v>       Genere</v>
      </c>
      <c r="C32" s="377" t="str">
        <f>IF(D11=1,AI32,"    Gener")</f>
        <v>    Gener</v>
      </c>
      <c r="Z32" s="592">
        <f ca="1" t="shared" si="2"/>
        <v>0.15</v>
      </c>
      <c r="AA32" s="593">
        <f ca="1" t="shared" si="3"/>
        <v>0</v>
      </c>
      <c r="AB32" s="590">
        <f>IF(AA32=0,D7-Z32,D7+Z32)</f>
        <v>1.52</v>
      </c>
      <c r="AC32" s="593">
        <f ca="1" t="shared" si="0"/>
        <v>1</v>
      </c>
      <c r="AD32" s="592">
        <f ca="1" t="shared" si="4"/>
        <v>0.01</v>
      </c>
      <c r="AE32" s="590">
        <f t="shared" si="5"/>
        <v>0.79952</v>
      </c>
      <c r="AF32" s="592">
        <f ca="1" t="shared" si="6"/>
        <v>0.03</v>
      </c>
      <c r="AG32" s="590">
        <f>INT((D8+AE32*(AB32-1.669))*100)/100</f>
        <v>1.56</v>
      </c>
      <c r="AH32" s="593">
        <f ca="1" t="shared" si="1"/>
        <v>0</v>
      </c>
      <c r="AI32" s="590">
        <f t="shared" si="7"/>
        <v>1.57</v>
      </c>
    </row>
    <row r="33" spans="1:35" ht="12.75">
      <c r="A33" s="357">
        <v>18</v>
      </c>
      <c r="B33" s="376" t="str">
        <f>IF(D11=1,AB33,"       Genere")</f>
        <v>       Genere</v>
      </c>
      <c r="C33" s="377" t="str">
        <f>IF(D11=1,AI33,"    Gener")</f>
        <v>    Gener</v>
      </c>
      <c r="Z33" s="592">
        <f ca="1" t="shared" si="2"/>
        <v>0.12</v>
      </c>
      <c r="AA33" s="593">
        <f ca="1" t="shared" si="3"/>
        <v>0</v>
      </c>
      <c r="AB33" s="590">
        <f>IF(AA33=0,D7-Z33,D7+Z33)</f>
        <v>1.5499999999999998</v>
      </c>
      <c r="AC33" s="593">
        <f ca="1" t="shared" si="0"/>
        <v>1</v>
      </c>
      <c r="AD33" s="592">
        <f ca="1" t="shared" si="4"/>
        <v>0</v>
      </c>
      <c r="AE33" s="590">
        <f t="shared" si="5"/>
        <v>0.7998</v>
      </c>
      <c r="AF33" s="592">
        <f ca="1" t="shared" si="6"/>
        <v>0.09</v>
      </c>
      <c r="AG33" s="590">
        <f>INT((D8+AE33*(AB33-1.669))*100)/100</f>
        <v>1.58</v>
      </c>
      <c r="AH33" s="593">
        <f ca="1" t="shared" si="1"/>
        <v>0</v>
      </c>
      <c r="AI33" s="590">
        <f t="shared" si="7"/>
        <v>1.62</v>
      </c>
    </row>
    <row r="34" spans="1:35" ht="12.75">
      <c r="A34" s="357">
        <v>19</v>
      </c>
      <c r="B34" s="376" t="str">
        <f>IF(D11=1,AB34,"       Genere")</f>
        <v>       Genere</v>
      </c>
      <c r="C34" s="377" t="str">
        <f>IF(D11=1,AI34,"    Gener")</f>
        <v>    Gener</v>
      </c>
      <c r="Z34" s="592">
        <f ca="1" t="shared" si="2"/>
        <v>0.04</v>
      </c>
      <c r="AA34" s="593">
        <f ca="1" t="shared" si="3"/>
        <v>1</v>
      </c>
      <c r="AB34" s="590">
        <f>IF(AA34=0,D7-Z34,D7+Z34)</f>
        <v>1.71</v>
      </c>
      <c r="AC34" s="593">
        <f ca="1" t="shared" si="0"/>
        <v>1</v>
      </c>
      <c r="AD34" s="592">
        <f ca="1" t="shared" si="4"/>
        <v>0.02</v>
      </c>
      <c r="AE34" s="590">
        <f t="shared" si="5"/>
        <v>0.91656</v>
      </c>
      <c r="AF34" s="592">
        <f ca="1" t="shared" si="6"/>
        <v>0.07</v>
      </c>
      <c r="AG34" s="590">
        <f>INT((D8+AE34*(AB34-1.669))*100)/100</f>
        <v>1.71</v>
      </c>
      <c r="AH34" s="593">
        <f ca="1" t="shared" si="1"/>
        <v>1</v>
      </c>
      <c r="AI34" s="590">
        <f t="shared" si="7"/>
        <v>1.67</v>
      </c>
    </row>
    <row r="35" spans="1:35" ht="12.75">
      <c r="A35" s="357">
        <v>20</v>
      </c>
      <c r="B35" s="376" t="str">
        <f>IF(D11=1,AB35,"       Genere")</f>
        <v>       Genere</v>
      </c>
      <c r="C35" s="377" t="str">
        <f>IF(D11=1,AI35,"    Gener")</f>
        <v>    Gener</v>
      </c>
      <c r="Z35" s="592">
        <f ca="1" t="shared" si="2"/>
        <v>0.09</v>
      </c>
      <c r="AA35" s="593">
        <f ca="1" t="shared" si="3"/>
        <v>1</v>
      </c>
      <c r="AB35" s="590">
        <f>IF(AA35=0,D7-Z35,D7+Z35)</f>
        <v>1.76</v>
      </c>
      <c r="AC35" s="593">
        <f ca="1" t="shared" si="0"/>
        <v>1</v>
      </c>
      <c r="AD35" s="592">
        <f ca="1" t="shared" si="4"/>
        <v>0.01</v>
      </c>
      <c r="AE35" s="590">
        <f t="shared" si="5"/>
        <v>0.92576</v>
      </c>
      <c r="AF35" s="592">
        <f ca="1" t="shared" si="6"/>
        <v>0.16</v>
      </c>
      <c r="AG35" s="590">
        <f>INT((D8+AE35*(AB35-1.669))*100)/100</f>
        <v>1.76</v>
      </c>
      <c r="AH35" s="593">
        <f ca="1" t="shared" si="1"/>
        <v>1</v>
      </c>
      <c r="AI35" s="590">
        <f t="shared" si="7"/>
        <v>1.68</v>
      </c>
    </row>
    <row r="36" spans="1:35" ht="12.75">
      <c r="A36" s="357">
        <v>21</v>
      </c>
      <c r="B36" s="376" t="str">
        <f>IF(D11=1,AB36,"       Genere")</f>
        <v>       Genere</v>
      </c>
      <c r="C36" s="377" t="str">
        <f>IF(D11=1,AI36,"    Gener")</f>
        <v>    Gener</v>
      </c>
      <c r="Z36" s="592">
        <f ca="1" t="shared" si="2"/>
        <v>0.15</v>
      </c>
      <c r="AA36" s="593">
        <f ca="1" t="shared" si="3"/>
        <v>0</v>
      </c>
      <c r="AB36" s="590">
        <f>IF(AA36=0,D7-Z36,D7+Z36)</f>
        <v>1.52</v>
      </c>
      <c r="AC36" s="593">
        <f ca="1" t="shared" si="0"/>
        <v>1</v>
      </c>
      <c r="AD36" s="592">
        <f ca="1" t="shared" si="4"/>
        <v>0.01</v>
      </c>
      <c r="AE36" s="590">
        <f t="shared" si="5"/>
        <v>0.79952</v>
      </c>
      <c r="AF36" s="592">
        <f ca="1" t="shared" si="6"/>
        <v>0.02</v>
      </c>
      <c r="AG36" s="590">
        <f>INT((D8+AE36*(AB36-1.669))*100)/100</f>
        <v>1.56</v>
      </c>
      <c r="AH36" s="593">
        <f ca="1" t="shared" si="1"/>
        <v>1</v>
      </c>
      <c r="AI36" s="590">
        <f t="shared" si="7"/>
        <v>1.56</v>
      </c>
    </row>
    <row r="37" spans="1:35" ht="12.75">
      <c r="A37" s="357">
        <v>22</v>
      </c>
      <c r="B37" s="376" t="str">
        <f>IF(D11=1,AB37,"       Genere")</f>
        <v>       Genere</v>
      </c>
      <c r="C37" s="377" t="str">
        <f>IF(D11=1,AI37,"    Gener")</f>
        <v>    Gener</v>
      </c>
      <c r="Z37" s="592">
        <f ca="1" t="shared" si="2"/>
        <v>0.21</v>
      </c>
      <c r="AA37" s="593">
        <f ca="1" t="shared" si="3"/>
        <v>1</v>
      </c>
      <c r="AB37" s="590">
        <f>IF(AA37=0,D7-Z37,D7+Z37)</f>
        <v>1.88</v>
      </c>
      <c r="AC37" s="593">
        <f ca="1" t="shared" si="0"/>
        <v>0</v>
      </c>
      <c r="AD37" s="592">
        <f ca="1" t="shared" si="4"/>
        <v>0.01</v>
      </c>
      <c r="AE37" s="590">
        <f t="shared" si="5"/>
        <v>0.9512799999999999</v>
      </c>
      <c r="AF37" s="592">
        <f ca="1" t="shared" si="6"/>
        <v>0.21</v>
      </c>
      <c r="AG37" s="590">
        <f>INT((D8+AE37*(AB37-1.669))*100)/100</f>
        <v>1.88</v>
      </c>
      <c r="AH37" s="593">
        <f ca="1" t="shared" si="1"/>
        <v>1</v>
      </c>
      <c r="AI37" s="590">
        <f t="shared" si="7"/>
        <v>1.77</v>
      </c>
    </row>
    <row r="38" spans="1:35" ht="12.75">
      <c r="A38" s="357">
        <v>23</v>
      </c>
      <c r="B38" s="376" t="str">
        <f>IF(D11=1,AB38,"       Genere")</f>
        <v>       Genere</v>
      </c>
      <c r="C38" s="377" t="str">
        <f>IF(D11=1,AI38,"    Gener")</f>
        <v>    Gener</v>
      </c>
      <c r="Z38" s="592">
        <f ca="1" t="shared" si="2"/>
        <v>0.15</v>
      </c>
      <c r="AA38" s="593">
        <f ca="1" t="shared" si="3"/>
        <v>0</v>
      </c>
      <c r="AB38" s="590">
        <f>IF(AA38=0,D7-Z38,D7+Z38)</f>
        <v>1.52</v>
      </c>
      <c r="AC38" s="593">
        <f ca="1" t="shared" si="0"/>
        <v>0</v>
      </c>
      <c r="AD38" s="592">
        <f ca="1" t="shared" si="4"/>
        <v>0.02</v>
      </c>
      <c r="AE38" s="590">
        <f t="shared" si="5"/>
        <v>0.75392</v>
      </c>
      <c r="AF38" s="592">
        <f ca="1" t="shared" si="6"/>
        <v>0.1</v>
      </c>
      <c r="AG38" s="590">
        <f>INT((D8+AE38*(AB38-1.669))*100)/100</f>
        <v>1.56</v>
      </c>
      <c r="AH38" s="593">
        <f ca="1" t="shared" si="1"/>
        <v>0</v>
      </c>
      <c r="AI38" s="590">
        <f t="shared" si="7"/>
        <v>1.6</v>
      </c>
    </row>
    <row r="39" spans="1:35" ht="12.75">
      <c r="A39" s="357">
        <v>24</v>
      </c>
      <c r="B39" s="376" t="str">
        <f>IF(D11=1,AB39,"       Genere")</f>
        <v>       Genere</v>
      </c>
      <c r="C39" s="377" t="str">
        <f>IF(D11=1,AI39,"    Gener")</f>
        <v>    Gener</v>
      </c>
      <c r="Z39" s="592">
        <f ca="1" t="shared" si="2"/>
        <v>0.07</v>
      </c>
      <c r="AA39" s="593">
        <f ca="1" t="shared" si="3"/>
        <v>0</v>
      </c>
      <c r="AB39" s="590">
        <f>IF(AA39=0,D7-Z39,D7+Z39)</f>
        <v>1.5999999999999999</v>
      </c>
      <c r="AC39" s="593">
        <f ca="1" t="shared" si="0"/>
        <v>0</v>
      </c>
      <c r="AD39" s="592">
        <f ca="1" t="shared" si="4"/>
        <v>0.03</v>
      </c>
      <c r="AE39" s="590">
        <f t="shared" si="5"/>
        <v>0.7776</v>
      </c>
      <c r="AF39" s="592">
        <f ca="1" t="shared" si="6"/>
        <v>0.15</v>
      </c>
      <c r="AG39" s="590">
        <f>INT((D8+AE39*(AB39-1.669))*100)/100</f>
        <v>1.62</v>
      </c>
      <c r="AH39" s="593">
        <f ca="1" t="shared" si="1"/>
        <v>0</v>
      </c>
      <c r="AI39" s="590">
        <f t="shared" si="7"/>
        <v>1.69</v>
      </c>
    </row>
    <row r="40" spans="1:35" ht="12.75">
      <c r="A40" s="357">
        <v>25</v>
      </c>
      <c r="B40" s="376" t="str">
        <f>IF(D11=1,AB40,"       Genere")</f>
        <v>       Genere</v>
      </c>
      <c r="C40" s="377" t="str">
        <f>IF(D11=1,AI40,"    Gener")</f>
        <v>    Gener</v>
      </c>
      <c r="Z40" s="592">
        <f ca="1" t="shared" si="2"/>
        <v>0.07</v>
      </c>
      <c r="AA40" s="593">
        <f ca="1" t="shared" si="3"/>
        <v>1</v>
      </c>
      <c r="AB40" s="590">
        <f>IF(AA40=0,D7-Z40,D7+Z40)</f>
        <v>1.74</v>
      </c>
      <c r="AC40" s="593">
        <f ca="1" t="shared" si="0"/>
        <v>0</v>
      </c>
      <c r="AD40" s="592">
        <f ca="1" t="shared" si="4"/>
        <v>0.02</v>
      </c>
      <c r="AE40" s="590">
        <f t="shared" si="5"/>
        <v>0.86304</v>
      </c>
      <c r="AF40" s="592">
        <f ca="1" t="shared" si="6"/>
        <v>0.14</v>
      </c>
      <c r="AG40" s="590">
        <f>INT((D8+AE40*(AB40-1.669))*100)/100</f>
        <v>1.74</v>
      </c>
      <c r="AH40" s="593">
        <f ca="1" t="shared" si="1"/>
        <v>1</v>
      </c>
      <c r="AI40" s="590">
        <f t="shared" si="7"/>
        <v>1.67</v>
      </c>
    </row>
    <row r="41" spans="1:35" ht="12.75">
      <c r="A41" s="357">
        <v>26</v>
      </c>
      <c r="B41" s="376" t="str">
        <f>IF(D11=1,AB41,"       Genere")</f>
        <v>       Genere</v>
      </c>
      <c r="C41" s="377" t="str">
        <f>IF(D11=1,AI41,"    Gener")</f>
        <v>    Gener</v>
      </c>
      <c r="Z41" s="592">
        <f ca="1" t="shared" si="2"/>
        <v>0.07</v>
      </c>
      <c r="AA41" s="593">
        <f ca="1" t="shared" si="3"/>
        <v>0</v>
      </c>
      <c r="AB41" s="590">
        <f>IF(AA41=0,D7-Z41,D7+Z41)</f>
        <v>1.5999999999999999</v>
      </c>
      <c r="AC41" s="593">
        <f ca="1" t="shared" si="0"/>
        <v>1</v>
      </c>
      <c r="AD41" s="592">
        <f ca="1" t="shared" si="4"/>
        <v>0.03</v>
      </c>
      <c r="AE41" s="590">
        <f t="shared" si="5"/>
        <v>0.8736</v>
      </c>
      <c r="AF41" s="592">
        <f ca="1" t="shared" si="6"/>
        <v>0</v>
      </c>
      <c r="AG41" s="590">
        <f>INT((D8+AE41*(AB41-1.669))*100)/100</f>
        <v>1.61</v>
      </c>
      <c r="AH41" s="593">
        <f ca="1" t="shared" si="1"/>
        <v>0</v>
      </c>
      <c r="AI41" s="590">
        <f t="shared" si="7"/>
        <v>1.61</v>
      </c>
    </row>
    <row r="42" spans="1:35" ht="12.75">
      <c r="A42" s="357">
        <v>27</v>
      </c>
      <c r="B42" s="376" t="str">
        <f>IF(D11=1,AB42,"       Genere")</f>
        <v>       Genere</v>
      </c>
      <c r="C42" s="377" t="str">
        <f>IF(D11=1,AI42,"    Gener")</f>
        <v>    Gener</v>
      </c>
      <c r="Z42" s="592">
        <f ca="1" t="shared" si="2"/>
        <v>0.08</v>
      </c>
      <c r="AA42" s="593">
        <f ca="1" t="shared" si="3"/>
        <v>0</v>
      </c>
      <c r="AB42" s="590">
        <f>IF(AA42=0,D7-Z42,D7+Z42)</f>
        <v>1.5899999999999999</v>
      </c>
      <c r="AC42" s="593">
        <f ca="1" t="shared" si="0"/>
        <v>1</v>
      </c>
      <c r="AD42" s="592">
        <f ca="1" t="shared" si="4"/>
        <v>0.03</v>
      </c>
      <c r="AE42" s="590">
        <f t="shared" si="5"/>
        <v>0.86814</v>
      </c>
      <c r="AF42" s="592">
        <f ca="1" t="shared" si="6"/>
        <v>0.08</v>
      </c>
      <c r="AG42" s="590">
        <f>INT((D8+AE42*(AB42-1.669))*100)/100</f>
        <v>1.61</v>
      </c>
      <c r="AH42" s="593">
        <f ca="1" t="shared" si="1"/>
        <v>0</v>
      </c>
      <c r="AI42" s="590">
        <f t="shared" si="7"/>
        <v>1.64</v>
      </c>
    </row>
    <row r="43" spans="1:35" ht="12.75">
      <c r="A43" s="357">
        <v>28</v>
      </c>
      <c r="B43" s="376" t="str">
        <f>IF(D11=1,AB43,"       Genere")</f>
        <v>       Genere</v>
      </c>
      <c r="C43" s="377" t="str">
        <f>IF(D11=1,AI43,"    Gener")</f>
        <v>    Gener</v>
      </c>
      <c r="Z43" s="592">
        <f ca="1" t="shared" si="2"/>
        <v>0.15</v>
      </c>
      <c r="AA43" s="593">
        <f ca="1" t="shared" si="3"/>
        <v>1</v>
      </c>
      <c r="AB43" s="590">
        <f>IF(AA43=0,D7-Z43,D7+Z43)</f>
        <v>1.8199999999999998</v>
      </c>
      <c r="AC43" s="593">
        <f ca="1" t="shared" si="0"/>
        <v>0</v>
      </c>
      <c r="AD43" s="592">
        <f ca="1" t="shared" si="4"/>
        <v>0.04</v>
      </c>
      <c r="AE43" s="590">
        <f t="shared" si="5"/>
        <v>0.86632</v>
      </c>
      <c r="AF43" s="592">
        <f ca="1" t="shared" si="6"/>
        <v>0.13</v>
      </c>
      <c r="AG43" s="590">
        <f>INT((D8+AE43*(AB43-1.669))*100)/100</f>
        <v>1.81</v>
      </c>
      <c r="AH43" s="593">
        <f ca="1" t="shared" si="1"/>
        <v>1</v>
      </c>
      <c r="AI43" s="590">
        <f t="shared" si="7"/>
        <v>1.74</v>
      </c>
    </row>
    <row r="44" spans="1:35" ht="12.75">
      <c r="A44" s="357">
        <v>29</v>
      </c>
      <c r="B44" s="376" t="str">
        <f>IF(D11=1,AB44,"       Genere")</f>
        <v>       Genere</v>
      </c>
      <c r="C44" s="377" t="str">
        <f>IF(D11=1,AI44,"    Gener")</f>
        <v>    Gener</v>
      </c>
      <c r="Z44" s="592">
        <f ca="1" t="shared" si="2"/>
        <v>0.17</v>
      </c>
      <c r="AA44" s="593">
        <f ca="1" t="shared" si="3"/>
        <v>0</v>
      </c>
      <c r="AB44" s="590">
        <f>IF(AA44=0,D7-Z44,D7+Z44)</f>
        <v>1.5</v>
      </c>
      <c r="AC44" s="593">
        <f ca="1" t="shared" si="0"/>
        <v>1</v>
      </c>
      <c r="AD44" s="592">
        <f ca="1" t="shared" si="4"/>
        <v>0.02</v>
      </c>
      <c r="AE44" s="590">
        <f t="shared" si="5"/>
        <v>0.804</v>
      </c>
      <c r="AF44" s="592">
        <f ca="1" t="shared" si="6"/>
        <v>0.04</v>
      </c>
      <c r="AG44" s="590">
        <f>INT((D8+AE44*(AB44-1.669))*100)/100</f>
        <v>1.54</v>
      </c>
      <c r="AH44" s="593">
        <f ca="1" t="shared" si="1"/>
        <v>0</v>
      </c>
      <c r="AI44" s="590">
        <f t="shared" si="7"/>
        <v>1.55</v>
      </c>
    </row>
    <row r="45" spans="1:35" ht="12.75">
      <c r="A45" s="357">
        <v>30</v>
      </c>
      <c r="B45" s="376" t="str">
        <f>IF(D11=1,AB45,"       Genere")</f>
        <v>       Genere</v>
      </c>
      <c r="C45" s="377" t="str">
        <f>IF(D11=1,AI45,"    Gener")</f>
        <v>    Gener</v>
      </c>
      <c r="Z45" s="592">
        <f ca="1" t="shared" si="2"/>
        <v>0</v>
      </c>
      <c r="AA45" s="593">
        <f ca="1" t="shared" si="3"/>
        <v>1</v>
      </c>
      <c r="AB45" s="590">
        <f>IF(AA45=0,D7-Z45,D7+Z45)</f>
        <v>1.67</v>
      </c>
      <c r="AC45" s="593">
        <f ca="1" t="shared" si="0"/>
        <v>1</v>
      </c>
      <c r="AD45" s="592">
        <f ca="1" t="shared" si="4"/>
        <v>0.04</v>
      </c>
      <c r="AE45" s="590">
        <f t="shared" si="5"/>
        <v>0.92852</v>
      </c>
      <c r="AF45" s="592">
        <f ca="1" t="shared" si="6"/>
        <v>0.24</v>
      </c>
      <c r="AG45" s="590">
        <f>INT((D8+AE45*(AB45-1.669))*100)/100</f>
        <v>1.68</v>
      </c>
      <c r="AH45" s="593">
        <f ca="1" t="shared" si="1"/>
        <v>0</v>
      </c>
      <c r="AI45" s="590">
        <f t="shared" si="7"/>
        <v>1.56</v>
      </c>
    </row>
    <row r="46" spans="1:35" ht="12.75">
      <c r="A46" s="357">
        <v>31</v>
      </c>
      <c r="B46" s="376" t="str">
        <f>IF(D11=1,AB46,"       Genere")</f>
        <v>       Genere</v>
      </c>
      <c r="C46" s="377" t="str">
        <f>IF(D11=1,AI46,"    Gener")</f>
        <v>    Gener</v>
      </c>
      <c r="Z46" s="592">
        <f ca="1" t="shared" si="2"/>
        <v>0.14</v>
      </c>
      <c r="AA46" s="593">
        <f ca="1" t="shared" si="3"/>
        <v>0</v>
      </c>
      <c r="AB46" s="590">
        <f>IF(AA46=0,D7-Z46,D7+Z46)</f>
        <v>1.5299999999999998</v>
      </c>
      <c r="AC46" s="593">
        <f ca="1" t="shared" si="0"/>
        <v>1</v>
      </c>
      <c r="AD46" s="592">
        <f ca="1" t="shared" si="4"/>
        <v>0.01</v>
      </c>
      <c r="AE46" s="590">
        <f t="shared" si="5"/>
        <v>0.8047799999999999</v>
      </c>
      <c r="AF46" s="592">
        <f ca="1" t="shared" si="6"/>
        <v>0.08</v>
      </c>
      <c r="AG46" s="590">
        <f>INT((D8+AE46*(AB46-1.669))*100)/100</f>
        <v>1.56</v>
      </c>
      <c r="AH46" s="593">
        <f ca="1" t="shared" si="1"/>
        <v>1</v>
      </c>
      <c r="AI46" s="590">
        <f t="shared" si="7"/>
        <v>1.59</v>
      </c>
    </row>
    <row r="47" spans="1:35" ht="12.75">
      <c r="A47" s="357">
        <v>32</v>
      </c>
      <c r="B47" s="376" t="str">
        <f>IF(D11=1,AB47,"       Genere")</f>
        <v>       Genere</v>
      </c>
      <c r="C47" s="377" t="str">
        <f>IF(D11=1,AI47,"    Gener")</f>
        <v>    Gener</v>
      </c>
      <c r="Z47" s="592">
        <f ca="1" t="shared" si="2"/>
        <v>0.17</v>
      </c>
      <c r="AA47" s="593">
        <f ca="1" t="shared" si="3"/>
        <v>0</v>
      </c>
      <c r="AB47" s="590">
        <f>IF(AA47=0,D7-Z47,D7+Z47)</f>
        <v>1.5</v>
      </c>
      <c r="AC47" s="593">
        <f ca="1" t="shared" si="0"/>
        <v>0</v>
      </c>
      <c r="AD47" s="592">
        <f ca="1" t="shared" si="4"/>
        <v>0.01</v>
      </c>
      <c r="AE47" s="590">
        <f t="shared" si="5"/>
        <v>0.759</v>
      </c>
      <c r="AF47" s="592">
        <f ca="1" t="shared" si="6"/>
        <v>0.1</v>
      </c>
      <c r="AG47" s="590">
        <f>INT((D8+AE47*(AB47-1.669))*100)/100</f>
        <v>1.55</v>
      </c>
      <c r="AH47" s="593">
        <f ca="1" t="shared" si="1"/>
        <v>0</v>
      </c>
      <c r="AI47" s="590">
        <f t="shared" si="7"/>
        <v>1.59</v>
      </c>
    </row>
    <row r="48" spans="1:35" ht="12.75">
      <c r="A48" s="357">
        <v>33</v>
      </c>
      <c r="B48" s="376" t="str">
        <f>IF(D11=1,AB48,"       Genere")</f>
        <v>       Genere</v>
      </c>
      <c r="C48" s="377" t="str">
        <f>IF(D11=1,AI48,"    Gener")</f>
        <v>    Gener</v>
      </c>
      <c r="Z48" s="592">
        <f ca="1" t="shared" si="2"/>
        <v>0.01</v>
      </c>
      <c r="AA48" s="593">
        <f ca="1" t="shared" si="3"/>
        <v>1</v>
      </c>
      <c r="AB48" s="590">
        <f>IF(AA48=0,D7-Z48,D7+Z48)</f>
        <v>1.68</v>
      </c>
      <c r="AC48" s="593">
        <f ca="1" t="shared" si="0"/>
        <v>0</v>
      </c>
      <c r="AD48" s="592">
        <f ca="1" t="shared" si="4"/>
        <v>0.03</v>
      </c>
      <c r="AE48" s="590">
        <f t="shared" si="5"/>
        <v>0.81648</v>
      </c>
      <c r="AF48" s="592">
        <f ca="1" t="shared" si="6"/>
        <v>0.12</v>
      </c>
      <c r="AG48" s="590">
        <f>INT((D8+AE48*(AB48-1.669))*100)/100</f>
        <v>1.68</v>
      </c>
      <c r="AH48" s="593">
        <f ca="1" t="shared" si="1"/>
        <v>0</v>
      </c>
      <c r="AI48" s="590">
        <f t="shared" si="7"/>
        <v>1.62</v>
      </c>
    </row>
    <row r="49" spans="1:35" ht="12.75">
      <c r="A49" s="357">
        <v>34</v>
      </c>
      <c r="B49" s="376" t="str">
        <f>IF(D11=1,AB49,"       Genere")</f>
        <v>       Genere</v>
      </c>
      <c r="C49" s="377" t="str">
        <f>IF(D11=1,AI49,"    Gener")</f>
        <v>    Gener</v>
      </c>
      <c r="Z49" s="592">
        <f ca="1" t="shared" si="2"/>
        <v>0.22</v>
      </c>
      <c r="AA49" s="593">
        <f ca="1" t="shared" si="3"/>
        <v>1</v>
      </c>
      <c r="AB49" s="590">
        <f>IF(AA49=0,D7-Z49,D7+Z49)</f>
        <v>1.89</v>
      </c>
      <c r="AC49" s="593">
        <f ca="1" t="shared" si="0"/>
        <v>0</v>
      </c>
      <c r="AD49" s="592">
        <f ca="1" t="shared" si="4"/>
        <v>0.02</v>
      </c>
      <c r="AE49" s="590">
        <f t="shared" si="5"/>
        <v>0.9374399999999999</v>
      </c>
      <c r="AF49" s="592">
        <f ca="1" t="shared" si="6"/>
        <v>0.17</v>
      </c>
      <c r="AG49" s="590">
        <f>INT((D8+AE49*(AB49-1.669))*100)/100</f>
        <v>1.88</v>
      </c>
      <c r="AH49" s="593">
        <f ca="1" t="shared" si="1"/>
        <v>0</v>
      </c>
      <c r="AI49" s="590">
        <f t="shared" si="7"/>
        <v>1.79</v>
      </c>
    </row>
    <row r="50" spans="1:35" ht="12.75">
      <c r="A50" s="357">
        <v>35</v>
      </c>
      <c r="B50" s="376" t="str">
        <f>IF(D11=1,AB50,"       Genere")</f>
        <v>       Genere</v>
      </c>
      <c r="C50" s="377" t="str">
        <f>IF(D11=1,AI50,"    Gener")</f>
        <v>    Gener</v>
      </c>
      <c r="Z50" s="592">
        <f ca="1" t="shared" si="2"/>
        <v>0.12</v>
      </c>
      <c r="AA50" s="593">
        <f ca="1" t="shared" si="3"/>
        <v>0</v>
      </c>
      <c r="AB50" s="590">
        <f>IF(AA50=0,D7-Z50,D7+Z50)</f>
        <v>1.5499999999999998</v>
      </c>
      <c r="AC50" s="593">
        <f ca="1" t="shared" si="0"/>
        <v>0</v>
      </c>
      <c r="AD50" s="592">
        <f ca="1" t="shared" si="4"/>
        <v>0.02</v>
      </c>
      <c r="AE50" s="590">
        <f t="shared" si="5"/>
        <v>0.7687999999999999</v>
      </c>
      <c r="AF50" s="592">
        <f ca="1" t="shared" si="6"/>
        <v>0.14</v>
      </c>
      <c r="AG50" s="590">
        <f>INT((D8+AE50*(AB50-1.669))*100)/100</f>
        <v>1.58</v>
      </c>
      <c r="AH50" s="593">
        <f ca="1" t="shared" si="1"/>
        <v>1</v>
      </c>
      <c r="AI50" s="590">
        <f t="shared" si="7"/>
        <v>1.64</v>
      </c>
    </row>
    <row r="51" spans="1:35" ht="12.75">
      <c r="A51" s="357">
        <v>36</v>
      </c>
      <c r="B51" s="376" t="str">
        <f>IF(D11=1,AB51,"       Genere")</f>
        <v>       Genere</v>
      </c>
      <c r="C51" s="377" t="str">
        <f>IF(D11=1,AI51,"    Gener")</f>
        <v>    Gener</v>
      </c>
      <c r="Z51" s="592">
        <f ca="1" t="shared" si="2"/>
        <v>0.18</v>
      </c>
      <c r="AA51" s="593">
        <f ca="1" t="shared" si="3"/>
        <v>1</v>
      </c>
      <c r="AB51" s="590">
        <f>IF(AA51=0,D7-Z51,D7+Z51)</f>
        <v>1.8499999999999999</v>
      </c>
      <c r="AC51" s="593">
        <f ca="1" t="shared" si="0"/>
        <v>1</v>
      </c>
      <c r="AD51" s="592">
        <f ca="1" t="shared" si="4"/>
        <v>0.03</v>
      </c>
      <c r="AE51" s="590">
        <f t="shared" si="5"/>
        <v>1.0101</v>
      </c>
      <c r="AF51" s="592">
        <f ca="1" t="shared" si="6"/>
        <v>0.11</v>
      </c>
      <c r="AG51" s="590">
        <f>INT((D8+AE51*(AB51-1.669))*100)/100</f>
        <v>1.86</v>
      </c>
      <c r="AH51" s="593">
        <f ca="1" t="shared" si="1"/>
        <v>1</v>
      </c>
      <c r="AI51" s="590">
        <f t="shared" si="7"/>
        <v>1.8</v>
      </c>
    </row>
    <row r="52" spans="1:35" ht="12.75">
      <c r="A52" s="357">
        <v>37</v>
      </c>
      <c r="B52" s="376" t="str">
        <f>IF(D11=1,AB52,"       Genere")</f>
        <v>       Genere</v>
      </c>
      <c r="C52" s="377" t="str">
        <f>IF(D11=1,AI52,"    Gener")</f>
        <v>    Gener</v>
      </c>
      <c r="Z52" s="592">
        <f ca="1" t="shared" si="2"/>
        <v>0.18</v>
      </c>
      <c r="AA52" s="593">
        <f ca="1" t="shared" si="3"/>
        <v>1</v>
      </c>
      <c r="AB52" s="590">
        <f>IF(AA52=0,D7-Z52,D7+Z52)</f>
        <v>1.8499999999999999</v>
      </c>
      <c r="AC52" s="593">
        <f ca="1" t="shared" si="0"/>
        <v>1</v>
      </c>
      <c r="AD52" s="592">
        <f ca="1" t="shared" si="4"/>
        <v>0.02</v>
      </c>
      <c r="AE52" s="590">
        <f t="shared" si="5"/>
        <v>0.9916</v>
      </c>
      <c r="AF52" s="592">
        <f ca="1" t="shared" si="6"/>
        <v>0.2</v>
      </c>
      <c r="AG52" s="590">
        <f>INT((D8+AE52*(AB52-1.669))*100)/100</f>
        <v>1.85</v>
      </c>
      <c r="AH52" s="593">
        <f ca="1" t="shared" si="1"/>
        <v>1</v>
      </c>
      <c r="AI52" s="590">
        <f t="shared" si="7"/>
        <v>1.75</v>
      </c>
    </row>
    <row r="53" spans="1:35" ht="12.75">
      <c r="A53" s="357">
        <v>38</v>
      </c>
      <c r="B53" s="376" t="str">
        <f>IF(D11=1,AB53,"       Genere")</f>
        <v>       Genere</v>
      </c>
      <c r="C53" s="377" t="str">
        <f>IF(D11=1,AI53,"    Gener")</f>
        <v>    Gener</v>
      </c>
      <c r="Z53" s="592">
        <f ca="1" t="shared" si="2"/>
        <v>0.1</v>
      </c>
      <c r="AA53" s="593">
        <f ca="1" t="shared" si="3"/>
        <v>1</v>
      </c>
      <c r="AB53" s="590">
        <f>IF(AA53=0,D7-Z53,D7+Z53)</f>
        <v>1.77</v>
      </c>
      <c r="AC53" s="593">
        <f ca="1" t="shared" si="0"/>
        <v>1</v>
      </c>
      <c r="AD53" s="592">
        <f ca="1" t="shared" si="4"/>
        <v>0.04</v>
      </c>
      <c r="AE53" s="590">
        <f t="shared" si="5"/>
        <v>0.9841200000000001</v>
      </c>
      <c r="AF53" s="592">
        <f ca="1" t="shared" si="6"/>
        <v>0.05</v>
      </c>
      <c r="AG53" s="590">
        <f>INT((D8+AE53*(AB53-1.669))*100)/100</f>
        <v>1.77</v>
      </c>
      <c r="AH53" s="593">
        <f ca="1" t="shared" si="1"/>
        <v>0</v>
      </c>
      <c r="AI53" s="590">
        <f t="shared" si="7"/>
        <v>1.74</v>
      </c>
    </row>
    <row r="54" spans="1:35" ht="12.75">
      <c r="A54" s="357">
        <v>39</v>
      </c>
      <c r="B54" s="376" t="str">
        <f>IF(D11=1,AB54,"       Genere")</f>
        <v>       Genere</v>
      </c>
      <c r="C54" s="377" t="str">
        <f>IF(D11=1,AI54,"    Gener")</f>
        <v>    Gener</v>
      </c>
      <c r="Z54" s="592">
        <f ca="1" t="shared" si="2"/>
        <v>0.02</v>
      </c>
      <c r="AA54" s="593">
        <f ca="1" t="shared" si="3"/>
        <v>0</v>
      </c>
      <c r="AB54" s="590">
        <f>IF(AA54=0,D7-Z54,D7+Z54)</f>
        <v>1.65</v>
      </c>
      <c r="AC54" s="593">
        <f ca="1" t="shared" si="0"/>
        <v>0</v>
      </c>
      <c r="AD54" s="592">
        <f ca="1" t="shared" si="4"/>
        <v>0.01</v>
      </c>
      <c r="AE54" s="590">
        <f t="shared" si="5"/>
        <v>0.8349</v>
      </c>
      <c r="AF54" s="592">
        <f ca="1" t="shared" si="6"/>
        <v>0.19</v>
      </c>
      <c r="AG54" s="590">
        <f>INT((D8+AE54*(AB54-1.669))*100)/100</f>
        <v>1.66</v>
      </c>
      <c r="AH54" s="593">
        <f ca="1" t="shared" si="1"/>
        <v>1</v>
      </c>
      <c r="AI54" s="590">
        <f t="shared" si="7"/>
        <v>1.75</v>
      </c>
    </row>
    <row r="55" spans="1:35" ht="12.75">
      <c r="A55" s="357">
        <v>40</v>
      </c>
      <c r="B55" s="376" t="str">
        <f>IF(D11=1,AB55,"       Genere")</f>
        <v>       Genere</v>
      </c>
      <c r="C55" s="377" t="str">
        <f>IF(D11=1,AI55,"    Gener")</f>
        <v>    Gener</v>
      </c>
      <c r="Z55" s="592">
        <f ca="1" t="shared" si="2"/>
        <v>0.04</v>
      </c>
      <c r="AA55" s="593">
        <f ca="1" t="shared" si="3"/>
        <v>1</v>
      </c>
      <c r="AB55" s="590">
        <f>IF(AA55=0,D7-Z55,D7+Z55)</f>
        <v>1.71</v>
      </c>
      <c r="AC55" s="593">
        <f ca="1" t="shared" si="0"/>
        <v>0</v>
      </c>
      <c r="AD55" s="592">
        <f ca="1" t="shared" si="4"/>
        <v>0.04</v>
      </c>
      <c r="AE55" s="590">
        <f t="shared" si="5"/>
        <v>0.81396</v>
      </c>
      <c r="AF55" s="592">
        <f ca="1" t="shared" si="6"/>
        <v>0.1</v>
      </c>
      <c r="AG55" s="590">
        <f>INT((D8+AE55*(AB55-1.669))*100)/100</f>
        <v>1.71</v>
      </c>
      <c r="AH55" s="593">
        <f ca="1" t="shared" si="1"/>
        <v>1</v>
      </c>
      <c r="AI55" s="590">
        <f t="shared" si="7"/>
        <v>1.66</v>
      </c>
    </row>
    <row r="56" spans="1:35" ht="12.75">
      <c r="A56" s="357">
        <v>41</v>
      </c>
      <c r="B56" s="376" t="str">
        <f>IF(D11=1,AB56,"       Genere")</f>
        <v>       Genere</v>
      </c>
      <c r="C56" s="377" t="str">
        <f>IF(D11=1,AI56,"    Gener")</f>
        <v>    Gener</v>
      </c>
      <c r="Z56" s="592">
        <f ca="1" t="shared" si="2"/>
        <v>0.13</v>
      </c>
      <c r="AA56" s="593">
        <f ca="1" t="shared" si="3"/>
        <v>0</v>
      </c>
      <c r="AB56" s="590">
        <f>IF(AA56=0,D7-Z56,D7+Z56)</f>
        <v>1.54</v>
      </c>
      <c r="AC56" s="593">
        <f ca="1" t="shared" si="0"/>
        <v>1</v>
      </c>
      <c r="AD56" s="592">
        <f ca="1" t="shared" si="4"/>
        <v>0</v>
      </c>
      <c r="AE56" s="590">
        <f t="shared" si="5"/>
        <v>0.79464</v>
      </c>
      <c r="AF56" s="592">
        <f ca="1" t="shared" si="6"/>
        <v>0.24</v>
      </c>
      <c r="AG56" s="590">
        <f>INT((D8+AE56*(AB56-1.669))*100)/100</f>
        <v>1.57</v>
      </c>
      <c r="AH56" s="593">
        <f ca="1" t="shared" si="1"/>
        <v>0</v>
      </c>
      <c r="AI56" s="590">
        <f t="shared" si="7"/>
        <v>1.68</v>
      </c>
    </row>
    <row r="57" spans="1:35" ht="12.75">
      <c r="A57" s="357">
        <v>42</v>
      </c>
      <c r="B57" s="376" t="str">
        <f>IF(D11=1,AB57,"       Genere")</f>
        <v>       Genere</v>
      </c>
      <c r="C57" s="377" t="str">
        <f>IF(D11=1,AI57,"    Gener")</f>
        <v>    Gener</v>
      </c>
      <c r="Z57" s="592">
        <f ca="1" t="shared" si="2"/>
        <v>0.16</v>
      </c>
      <c r="AA57" s="593">
        <f ca="1" t="shared" si="3"/>
        <v>0</v>
      </c>
      <c r="AB57" s="590">
        <f>IF(AA57=0,D7-Z57,D7+Z57)</f>
        <v>1.51</v>
      </c>
      <c r="AC57" s="593">
        <f ca="1" t="shared" si="0"/>
        <v>0</v>
      </c>
      <c r="AD57" s="592">
        <f ca="1" t="shared" si="4"/>
        <v>0.01</v>
      </c>
      <c r="AE57" s="590">
        <f t="shared" si="5"/>
        <v>0.76406</v>
      </c>
      <c r="AF57" s="592">
        <f ca="1" t="shared" si="6"/>
        <v>0.06</v>
      </c>
      <c r="AG57" s="590">
        <f>INT((D8+AE57*(AB57-1.669))*100)/100</f>
        <v>1.55</v>
      </c>
      <c r="AH57" s="593">
        <f ca="1" t="shared" si="1"/>
        <v>0</v>
      </c>
      <c r="AI57" s="590">
        <f t="shared" si="7"/>
        <v>1.57</v>
      </c>
    </row>
    <row r="58" spans="1:35" ht="12.75">
      <c r="A58" s="357">
        <v>43</v>
      </c>
      <c r="B58" s="376" t="str">
        <f>IF(D11=1,AB58,"       Genere")</f>
        <v>       Genere</v>
      </c>
      <c r="C58" s="377" t="str">
        <f>IF(D11=1,AI58,"    Gener")</f>
        <v>    Gener</v>
      </c>
      <c r="Z58" s="592">
        <f ca="1" t="shared" si="2"/>
        <v>0.01</v>
      </c>
      <c r="AA58" s="593">
        <f ca="1" t="shared" si="3"/>
        <v>0</v>
      </c>
      <c r="AB58" s="590">
        <f>IF(AA58=0,D7-Z58,D7+Z58)</f>
        <v>1.66</v>
      </c>
      <c r="AC58" s="593">
        <f ca="1" t="shared" si="0"/>
        <v>1</v>
      </c>
      <c r="AD58" s="592">
        <f ca="1" t="shared" si="4"/>
        <v>0</v>
      </c>
      <c r="AE58" s="590">
        <f t="shared" si="5"/>
        <v>0.85656</v>
      </c>
      <c r="AF58" s="592">
        <f ca="1" t="shared" si="6"/>
        <v>0.17</v>
      </c>
      <c r="AG58" s="590">
        <f>INT((D8+AE58*(AB58-1.669))*100)/100</f>
        <v>1.67</v>
      </c>
      <c r="AH58" s="593">
        <f ca="1" t="shared" si="1"/>
        <v>1</v>
      </c>
      <c r="AI58" s="590">
        <f t="shared" si="7"/>
        <v>1.75</v>
      </c>
    </row>
    <row r="59" spans="1:35" ht="12.75">
      <c r="A59" s="357">
        <v>44</v>
      </c>
      <c r="B59" s="376" t="str">
        <f>IF(D11=1,AB59,"       Genere")</f>
        <v>       Genere</v>
      </c>
      <c r="C59" s="377" t="str">
        <f>IF(D11=1,AI59,"    Gener")</f>
        <v>    Gener</v>
      </c>
      <c r="Z59" s="592">
        <f ca="1" t="shared" si="2"/>
        <v>0.02</v>
      </c>
      <c r="AA59" s="593">
        <f ca="1" t="shared" si="3"/>
        <v>1</v>
      </c>
      <c r="AB59" s="590">
        <f>IF(AA59=0,D7-Z59,D7+Z59)</f>
        <v>1.69</v>
      </c>
      <c r="AC59" s="593">
        <f ca="1" t="shared" si="0"/>
        <v>1</v>
      </c>
      <c r="AD59" s="592">
        <f ca="1" t="shared" si="4"/>
        <v>0.04</v>
      </c>
      <c r="AE59" s="590">
        <f t="shared" si="5"/>
        <v>0.93964</v>
      </c>
      <c r="AF59" s="592">
        <f ca="1" t="shared" si="6"/>
        <v>0.02</v>
      </c>
      <c r="AG59" s="590">
        <f>INT((D8+AE59*(AB59-1.669))*100)/100</f>
        <v>1.69</v>
      </c>
      <c r="AH59" s="593">
        <f ca="1" t="shared" si="1"/>
        <v>1</v>
      </c>
      <c r="AI59" s="590">
        <f t="shared" si="7"/>
        <v>1.68</v>
      </c>
    </row>
    <row r="60" spans="1:35" ht="12.75">
      <c r="A60" s="357">
        <v>45</v>
      </c>
      <c r="B60" s="376" t="str">
        <f>IF(D11=1,AB60,"       Genere")</f>
        <v>       Genere</v>
      </c>
      <c r="C60" s="377" t="str">
        <f>IF(D11=1,AI60,"    Gener")</f>
        <v>    Gener</v>
      </c>
      <c r="Z60" s="592">
        <f ca="1" t="shared" si="2"/>
        <v>0.11</v>
      </c>
      <c r="AA60" s="593">
        <f ca="1" t="shared" si="3"/>
        <v>1</v>
      </c>
      <c r="AB60" s="590">
        <f>IF(AA60=0,D7-Z60,D7+Z60)</f>
        <v>1.78</v>
      </c>
      <c r="AC60" s="593">
        <f ca="1" t="shared" si="0"/>
        <v>1</v>
      </c>
      <c r="AD60" s="592">
        <f ca="1" t="shared" si="4"/>
        <v>0.03</v>
      </c>
      <c r="AE60" s="590">
        <f t="shared" si="5"/>
        <v>0.9718800000000001</v>
      </c>
      <c r="AF60" s="592">
        <f ca="1" t="shared" si="6"/>
        <v>0.23</v>
      </c>
      <c r="AG60" s="590">
        <f>INT((D8+AE60*(AB60-1.669))*100)/100</f>
        <v>1.78</v>
      </c>
      <c r="AH60" s="593">
        <f ca="1" t="shared" si="1"/>
        <v>1</v>
      </c>
      <c r="AI60" s="590">
        <f t="shared" si="7"/>
        <v>1.66</v>
      </c>
    </row>
    <row r="61" spans="1:35" ht="12.75">
      <c r="A61" s="357">
        <v>46</v>
      </c>
      <c r="B61" s="376" t="str">
        <f>IF(D11=1,AB61,"       Genere")</f>
        <v>       Genere</v>
      </c>
      <c r="C61" s="377" t="str">
        <f>IF(D11=1,AI61,"    Gener")</f>
        <v>    Gener</v>
      </c>
      <c r="Z61" s="592">
        <f ca="1" t="shared" si="2"/>
        <v>0.15</v>
      </c>
      <c r="AA61" s="593">
        <f ca="1" t="shared" si="3"/>
        <v>0</v>
      </c>
      <c r="AB61" s="590">
        <f>IF(AA61=0,D7-Z61,D7+Z61)</f>
        <v>1.52</v>
      </c>
      <c r="AC61" s="593">
        <f ca="1" t="shared" si="0"/>
        <v>1</v>
      </c>
      <c r="AD61" s="592">
        <f ca="1" t="shared" si="4"/>
        <v>0.01</v>
      </c>
      <c r="AE61" s="590">
        <f t="shared" si="5"/>
        <v>0.79952</v>
      </c>
      <c r="AF61" s="592">
        <f ca="1" t="shared" si="6"/>
        <v>0.2</v>
      </c>
      <c r="AG61" s="590">
        <f>INT((D8+AE61*(AB61-1.669))*100)/100</f>
        <v>1.56</v>
      </c>
      <c r="AH61" s="593">
        <f ca="1" t="shared" si="1"/>
        <v>0</v>
      </c>
      <c r="AI61" s="590">
        <f t="shared" si="7"/>
        <v>1.65</v>
      </c>
    </row>
    <row r="62" spans="1:35" ht="12.75">
      <c r="A62" s="357">
        <v>47</v>
      </c>
      <c r="B62" s="376" t="str">
        <f>IF(D11=1,AB62,"       Genere")</f>
        <v>       Genere</v>
      </c>
      <c r="C62" s="377" t="str">
        <f>IF(D11=1,AI62,"    Gener")</f>
        <v>    Gener</v>
      </c>
      <c r="Z62" s="592">
        <f ca="1" t="shared" si="2"/>
        <v>0.03</v>
      </c>
      <c r="AA62" s="593">
        <f ca="1" t="shared" si="3"/>
        <v>0</v>
      </c>
      <c r="AB62" s="590">
        <f>IF(AA62=0,D7-Z62,D7+Z62)</f>
        <v>1.64</v>
      </c>
      <c r="AC62" s="593">
        <f ca="1" t="shared" si="0"/>
        <v>0</v>
      </c>
      <c r="AD62" s="592">
        <f ca="1" t="shared" si="4"/>
        <v>0.01</v>
      </c>
      <c r="AE62" s="590">
        <f t="shared" si="5"/>
        <v>0.8298399999999999</v>
      </c>
      <c r="AF62" s="592">
        <f ca="1" t="shared" si="6"/>
        <v>0.22</v>
      </c>
      <c r="AG62" s="590">
        <f>INT((D8+AE62*(AB62-1.669))*100)/100</f>
        <v>1.65</v>
      </c>
      <c r="AH62" s="593">
        <f ca="1" t="shared" si="1"/>
        <v>0</v>
      </c>
      <c r="AI62" s="590">
        <f t="shared" si="7"/>
        <v>1.75</v>
      </c>
    </row>
    <row r="63" spans="1:35" ht="12.75">
      <c r="A63" s="357">
        <v>48</v>
      </c>
      <c r="B63" s="376" t="str">
        <f>IF(D11=1,AB63,"       Genere")</f>
        <v>       Genere</v>
      </c>
      <c r="C63" s="377" t="str">
        <f>IF(D11=1,AI63,"    Gener")</f>
        <v>    Gener</v>
      </c>
      <c r="Z63" s="592">
        <f ca="1" t="shared" si="2"/>
        <v>0.07</v>
      </c>
      <c r="AA63" s="593">
        <f ca="1" t="shared" si="3"/>
        <v>0</v>
      </c>
      <c r="AB63" s="590">
        <f>IF(AA63=0,D7-Z63,D7+Z63)</f>
        <v>1.5999999999999999</v>
      </c>
      <c r="AC63" s="593">
        <f ca="1" t="shared" si="0"/>
        <v>0</v>
      </c>
      <c r="AD63" s="592">
        <f ca="1" t="shared" si="4"/>
        <v>0.02</v>
      </c>
      <c r="AE63" s="590">
        <f t="shared" si="5"/>
        <v>0.7936</v>
      </c>
      <c r="AF63" s="592">
        <f ca="1" t="shared" si="6"/>
        <v>0.14</v>
      </c>
      <c r="AG63" s="590">
        <f>INT((D8+AE63*(AB63-1.669))*100)/100</f>
        <v>1.62</v>
      </c>
      <c r="AH63" s="593">
        <f ca="1" t="shared" si="1"/>
        <v>0</v>
      </c>
      <c r="AI63" s="590">
        <f t="shared" si="7"/>
        <v>1.68</v>
      </c>
    </row>
    <row r="64" spans="1:35" ht="12.75">
      <c r="A64" s="357">
        <v>49</v>
      </c>
      <c r="B64" s="376" t="str">
        <f>IF(D11=1,AB64,"       Genere")</f>
        <v>       Genere</v>
      </c>
      <c r="C64" s="377" t="str">
        <f>IF(D11=1,AI64,"    Gener")</f>
        <v>    Gener</v>
      </c>
      <c r="Z64" s="592">
        <f ca="1" t="shared" si="2"/>
        <v>0.17</v>
      </c>
      <c r="AA64" s="593">
        <f ca="1" t="shared" si="3"/>
        <v>1</v>
      </c>
      <c r="AB64" s="590">
        <f>IF(AA64=0,D7-Z64,D7+Z64)</f>
        <v>1.8399999999999999</v>
      </c>
      <c r="AC64" s="593">
        <f ca="1" t="shared" si="0"/>
        <v>0</v>
      </c>
      <c r="AD64" s="592">
        <f ca="1" t="shared" si="4"/>
        <v>0.03</v>
      </c>
      <c r="AE64" s="590">
        <f t="shared" si="5"/>
        <v>0.8942399999999999</v>
      </c>
      <c r="AF64" s="592">
        <f ca="1" t="shared" si="6"/>
        <v>0.05</v>
      </c>
      <c r="AG64" s="590">
        <f>INT((D8+AE64*(AB64-1.669))*100)/100</f>
        <v>1.83</v>
      </c>
      <c r="AH64" s="593">
        <f ca="1" t="shared" si="1"/>
        <v>1</v>
      </c>
      <c r="AI64" s="590">
        <f t="shared" si="7"/>
        <v>1.8</v>
      </c>
    </row>
    <row r="65" spans="1:35" ht="12.75">
      <c r="A65" s="357">
        <v>50</v>
      </c>
      <c r="B65" s="376" t="str">
        <f>IF(D11=1,AB65,"       Genere")</f>
        <v>       Genere</v>
      </c>
      <c r="C65" s="377" t="str">
        <f>IF(D11=1,AI65,"    Gener")</f>
        <v>    Gener</v>
      </c>
      <c r="Z65" s="592">
        <f ca="1" t="shared" si="2"/>
        <v>0.18</v>
      </c>
      <c r="AA65" s="593">
        <f ca="1" t="shared" si="3"/>
        <v>1</v>
      </c>
      <c r="AB65" s="590">
        <f>IF(AA65=0,D7-Z65,D7+Z65)</f>
        <v>1.8499999999999999</v>
      </c>
      <c r="AC65" s="593">
        <f ca="1" t="shared" si="0"/>
        <v>0</v>
      </c>
      <c r="AD65" s="592">
        <f ca="1" t="shared" si="4"/>
        <v>0.02</v>
      </c>
      <c r="AE65" s="590">
        <f t="shared" si="5"/>
        <v>0.9176</v>
      </c>
      <c r="AF65" s="592">
        <f ca="1" t="shared" si="6"/>
        <v>0.03</v>
      </c>
      <c r="AG65" s="590">
        <f>INT((D8+AE65*(AB65-1.669))*100)/100</f>
        <v>1.84</v>
      </c>
      <c r="AH65" s="593">
        <f ca="1" t="shared" si="1"/>
        <v>1</v>
      </c>
      <c r="AI65" s="590">
        <f t="shared" si="7"/>
        <v>1.82</v>
      </c>
    </row>
    <row r="66" spans="1:35" ht="12.75">
      <c r="A66" s="357">
        <v>51</v>
      </c>
      <c r="B66" s="376" t="str">
        <f>IF(D11=1,AB66,"       Genere")</f>
        <v>       Genere</v>
      </c>
      <c r="C66" s="377" t="str">
        <f>IF(D11=1,AI66,"    Gener")</f>
        <v>    Gener</v>
      </c>
      <c r="Z66" s="592">
        <f ca="1" t="shared" si="2"/>
        <v>0.02</v>
      </c>
      <c r="AA66" s="593">
        <f ca="1" t="shared" si="3"/>
        <v>0</v>
      </c>
      <c r="AB66" s="590">
        <f>IF(AA66=0,D7-Z66,D7+Z66)</f>
        <v>1.65</v>
      </c>
      <c r="AC66" s="593">
        <f ca="1" t="shared" si="0"/>
        <v>0</v>
      </c>
      <c r="AD66" s="592">
        <f ca="1" t="shared" si="4"/>
        <v>0.01</v>
      </c>
      <c r="AE66" s="590">
        <f t="shared" si="5"/>
        <v>0.8349</v>
      </c>
      <c r="AF66" s="592">
        <f ca="1" t="shared" si="6"/>
        <v>0.1</v>
      </c>
      <c r="AG66" s="590">
        <f>INT((D8+AE66*(AB66-1.669))*100)/100</f>
        <v>1.66</v>
      </c>
      <c r="AH66" s="593">
        <f ca="1" t="shared" si="1"/>
        <v>0</v>
      </c>
      <c r="AI66" s="590">
        <f t="shared" si="7"/>
        <v>1.7</v>
      </c>
    </row>
    <row r="67" spans="1:35" ht="12.75">
      <c r="A67" s="357">
        <v>52</v>
      </c>
      <c r="B67" s="376" t="str">
        <f>IF(D11=1,AB67,"       Genere")</f>
        <v>       Genere</v>
      </c>
      <c r="C67" s="377" t="str">
        <f>IF(D11=1,AI67,"    Gener")</f>
        <v>    Gener</v>
      </c>
      <c r="Z67" s="592">
        <f ca="1" t="shared" si="2"/>
        <v>0.15</v>
      </c>
      <c r="AA67" s="593">
        <f ca="1" t="shared" si="3"/>
        <v>1</v>
      </c>
      <c r="AB67" s="590">
        <f>IF(AA67=0,D7-Z67,D7+Z67)</f>
        <v>1.8199999999999998</v>
      </c>
      <c r="AC67" s="593">
        <f ca="1" t="shared" si="0"/>
        <v>0</v>
      </c>
      <c r="AD67" s="592">
        <f ca="1" t="shared" si="4"/>
        <v>0.03</v>
      </c>
      <c r="AE67" s="590">
        <f t="shared" si="5"/>
        <v>0.8845199999999999</v>
      </c>
      <c r="AF67" s="592">
        <f ca="1" t="shared" si="6"/>
        <v>0.03</v>
      </c>
      <c r="AG67" s="590">
        <f>INT((D8+AE67*(AB67-1.669))*100)/100</f>
        <v>1.81</v>
      </c>
      <c r="AH67" s="593">
        <f ca="1" t="shared" si="1"/>
        <v>1</v>
      </c>
      <c r="AI67" s="590">
        <f t="shared" si="7"/>
        <v>1.79</v>
      </c>
    </row>
    <row r="68" spans="1:35" ht="12.75">
      <c r="A68" s="357">
        <v>53</v>
      </c>
      <c r="B68" s="376" t="str">
        <f>IF(D11=1,AB68,"       Genere")</f>
        <v>       Genere</v>
      </c>
      <c r="C68" s="377" t="str">
        <f>IF(D11=1,AI68,"    Gener")</f>
        <v>    Gener</v>
      </c>
      <c r="Z68" s="592">
        <f ca="1" t="shared" si="2"/>
        <v>0.13</v>
      </c>
      <c r="AA68" s="593">
        <f ca="1" t="shared" si="3"/>
        <v>0</v>
      </c>
      <c r="AB68" s="590">
        <f>IF(AA68=0,D7-Z68,D7+Z68)</f>
        <v>1.54</v>
      </c>
      <c r="AC68" s="593">
        <f ca="1" t="shared" si="0"/>
        <v>0</v>
      </c>
      <c r="AD68" s="592">
        <f ca="1" t="shared" si="4"/>
        <v>0</v>
      </c>
      <c r="AE68" s="590">
        <f t="shared" si="5"/>
        <v>0.79464</v>
      </c>
      <c r="AF68" s="592">
        <f ca="1" t="shared" si="6"/>
        <v>0.15</v>
      </c>
      <c r="AG68" s="590">
        <f>INT((D8+AE68*(AB68-1.669))*100)/100</f>
        <v>1.57</v>
      </c>
      <c r="AH68" s="593">
        <f ca="1" t="shared" si="1"/>
        <v>0</v>
      </c>
      <c r="AI68" s="590">
        <f t="shared" si="7"/>
        <v>1.64</v>
      </c>
    </row>
    <row r="69" spans="1:35" ht="12.75">
      <c r="A69" s="357">
        <v>54</v>
      </c>
      <c r="B69" s="376" t="str">
        <f>IF(D11=1,AB69,"       Genere")</f>
        <v>       Genere</v>
      </c>
      <c r="C69" s="377" t="str">
        <f>IF(D11=1,AI69,"    Gener")</f>
        <v>    Gener</v>
      </c>
      <c r="Z69" s="592">
        <f ca="1" t="shared" si="2"/>
        <v>0.04</v>
      </c>
      <c r="AA69" s="593">
        <f ca="1" t="shared" si="3"/>
        <v>0</v>
      </c>
      <c r="AB69" s="590">
        <f>IF(AA69=0,D7-Z69,D7+Z69)</f>
        <v>1.63</v>
      </c>
      <c r="AC69" s="593">
        <f ca="1" t="shared" si="0"/>
        <v>0</v>
      </c>
      <c r="AD69" s="592">
        <f ca="1" t="shared" si="4"/>
        <v>0.02</v>
      </c>
      <c r="AE69" s="590">
        <f t="shared" si="5"/>
        <v>0.80848</v>
      </c>
      <c r="AF69" s="592">
        <f ca="1" t="shared" si="6"/>
        <v>0.2</v>
      </c>
      <c r="AG69" s="590">
        <f>INT((D8+AE69*(AB69-1.669))*100)/100</f>
        <v>1.64</v>
      </c>
      <c r="AH69" s="593">
        <f ca="1" t="shared" si="1"/>
        <v>0</v>
      </c>
      <c r="AI69" s="590">
        <f t="shared" si="7"/>
        <v>1.73</v>
      </c>
    </row>
    <row r="70" spans="1:35" ht="12.75">
      <c r="A70" s="357">
        <v>55</v>
      </c>
      <c r="B70" s="376" t="str">
        <f>IF(D11=1,AB70,"       Genere")</f>
        <v>       Genere</v>
      </c>
      <c r="C70" s="377" t="str">
        <f>IF(D11=1,AI70,"    Gener")</f>
        <v>    Gener</v>
      </c>
      <c r="Z70" s="592">
        <f ca="1" t="shared" si="2"/>
        <v>0.19</v>
      </c>
      <c r="AA70" s="593">
        <f ca="1" t="shared" si="3"/>
        <v>1</v>
      </c>
      <c r="AB70" s="590">
        <f>IF(AA70=0,D7-Z70,D7+Z70)</f>
        <v>1.8599999999999999</v>
      </c>
      <c r="AC70" s="593">
        <f ca="1" t="shared" si="0"/>
        <v>0</v>
      </c>
      <c r="AD70" s="592">
        <f ca="1" t="shared" si="4"/>
        <v>0</v>
      </c>
      <c r="AE70" s="590">
        <f t="shared" si="5"/>
        <v>0.95976</v>
      </c>
      <c r="AF70" s="592">
        <f ca="1" t="shared" si="6"/>
        <v>0.11</v>
      </c>
      <c r="AG70" s="590">
        <f>INT((D8+AE70*(AB70-1.669))*100)/100</f>
        <v>1.86</v>
      </c>
      <c r="AH70" s="593">
        <f ca="1" t="shared" si="1"/>
        <v>1</v>
      </c>
      <c r="AI70" s="590">
        <f t="shared" si="7"/>
        <v>1.8</v>
      </c>
    </row>
    <row r="71" spans="1:35" ht="12.75">
      <c r="A71" s="357">
        <v>56</v>
      </c>
      <c r="B71" s="376" t="str">
        <f>IF(D11=1,AB71,"       Genere")</f>
        <v>       Genere</v>
      </c>
      <c r="C71" s="377" t="str">
        <f>IF(D11=1,AI71,"    Gener")</f>
        <v>    Gener</v>
      </c>
      <c r="Z71" s="592">
        <f ca="1" t="shared" si="2"/>
        <v>0.07</v>
      </c>
      <c r="AA71" s="593">
        <f ca="1" t="shared" si="3"/>
        <v>0</v>
      </c>
      <c r="AB71" s="590">
        <f>IF(AA71=0,D7-Z71,D7+Z71)</f>
        <v>1.5999999999999999</v>
      </c>
      <c r="AC71" s="593">
        <f ca="1" t="shared" si="0"/>
        <v>0</v>
      </c>
      <c r="AD71" s="592">
        <f ca="1" t="shared" si="4"/>
        <v>0.04</v>
      </c>
      <c r="AE71" s="590">
        <f t="shared" si="5"/>
        <v>0.7615999999999999</v>
      </c>
      <c r="AF71" s="592">
        <f ca="1" t="shared" si="6"/>
        <v>0.04</v>
      </c>
      <c r="AG71" s="590">
        <f>INT((D8+AE71*(AB71-1.669))*100)/100</f>
        <v>1.62</v>
      </c>
      <c r="AH71" s="593">
        <f ca="1" t="shared" si="1"/>
        <v>0</v>
      </c>
      <c r="AI71" s="590">
        <f t="shared" si="7"/>
        <v>1.63</v>
      </c>
    </row>
    <row r="72" spans="1:35" ht="12.75">
      <c r="A72" s="357">
        <v>57</v>
      </c>
      <c r="B72" s="376" t="str">
        <f>IF(D11=1,AB72,"       Genere")</f>
        <v>       Genere</v>
      </c>
      <c r="C72" s="377" t="str">
        <f>IF(D11=1,AI72,"    Gener")</f>
        <v>    Gener</v>
      </c>
      <c r="Z72" s="592">
        <f ca="1" t="shared" si="2"/>
        <v>0.17</v>
      </c>
      <c r="AA72" s="593">
        <f ca="1" t="shared" si="3"/>
        <v>0</v>
      </c>
      <c r="AB72" s="590">
        <f>IF(AA72=0,D7-Z72,D7+Z72)</f>
        <v>1.5</v>
      </c>
      <c r="AC72" s="593">
        <f ca="1" t="shared" si="0"/>
        <v>0</v>
      </c>
      <c r="AD72" s="592">
        <f ca="1" t="shared" si="4"/>
        <v>0.01</v>
      </c>
      <c r="AE72" s="590">
        <f t="shared" si="5"/>
        <v>0.759</v>
      </c>
      <c r="AF72" s="592">
        <f ca="1" t="shared" si="6"/>
        <v>0.11</v>
      </c>
      <c r="AG72" s="590">
        <f>INT((D8+AE72*(AB72-1.669))*100)/100</f>
        <v>1.55</v>
      </c>
      <c r="AH72" s="593">
        <f ca="1" t="shared" si="1"/>
        <v>0</v>
      </c>
      <c r="AI72" s="590">
        <f t="shared" si="7"/>
        <v>1.6</v>
      </c>
    </row>
    <row r="73" spans="1:35" ht="12.75">
      <c r="A73" s="357">
        <v>58</v>
      </c>
      <c r="B73" s="376" t="str">
        <f>IF(D11=1,AB73,"       Genere")</f>
        <v>       Genere</v>
      </c>
      <c r="C73" s="377" t="str">
        <f>IF(D11=1,AI73,"    Gener")</f>
        <v>    Gener</v>
      </c>
      <c r="Z73" s="592">
        <f ca="1" t="shared" si="2"/>
        <v>0.1</v>
      </c>
      <c r="AA73" s="593">
        <f ca="1" t="shared" si="3"/>
        <v>1</v>
      </c>
      <c r="AB73" s="590">
        <f>IF(AA73=0,D7-Z73,D7+Z73)</f>
        <v>1.77</v>
      </c>
      <c r="AC73" s="593">
        <f ca="1" t="shared" si="0"/>
        <v>0</v>
      </c>
      <c r="AD73" s="592">
        <f ca="1" t="shared" si="4"/>
        <v>0.01</v>
      </c>
      <c r="AE73" s="590">
        <f t="shared" si="5"/>
        <v>0.89562</v>
      </c>
      <c r="AF73" s="592">
        <f ca="1" t="shared" si="6"/>
        <v>0.15</v>
      </c>
      <c r="AG73" s="590">
        <f>INT((D8+AE73*(AB73-1.669))*100)/100</f>
        <v>1.77</v>
      </c>
      <c r="AH73" s="593">
        <f ca="1" t="shared" si="1"/>
        <v>1</v>
      </c>
      <c r="AI73" s="590">
        <f t="shared" si="7"/>
        <v>1.69</v>
      </c>
    </row>
    <row r="74" spans="1:35" ht="12.75">
      <c r="A74" s="357">
        <v>59</v>
      </c>
      <c r="B74" s="376" t="str">
        <f>IF(D11=1,AB74,"       Genere")</f>
        <v>       Genere</v>
      </c>
      <c r="C74" s="377" t="str">
        <f>IF(D11=1,AI74,"    Gener")</f>
        <v>    Gener</v>
      </c>
      <c r="Z74" s="592">
        <f ca="1" t="shared" si="2"/>
        <v>0.02</v>
      </c>
      <c r="AA74" s="593">
        <f ca="1" t="shared" si="3"/>
        <v>1</v>
      </c>
      <c r="AB74" s="590">
        <f>IF(AA74=0,D7-Z74,D7+Z74)</f>
        <v>1.69</v>
      </c>
      <c r="AC74" s="593">
        <f ca="1" t="shared" si="0"/>
        <v>0</v>
      </c>
      <c r="AD74" s="592">
        <f ca="1" t="shared" si="4"/>
        <v>0</v>
      </c>
      <c r="AE74" s="590">
        <f t="shared" si="5"/>
        <v>0.87204</v>
      </c>
      <c r="AF74" s="592">
        <f ca="1" t="shared" si="6"/>
        <v>0.15</v>
      </c>
      <c r="AG74" s="590">
        <f>INT((D8+AE74*(AB74-1.669))*100)/100</f>
        <v>1.69</v>
      </c>
      <c r="AH74" s="593">
        <f ca="1" t="shared" si="1"/>
        <v>1</v>
      </c>
      <c r="AI74" s="590">
        <f t="shared" si="7"/>
        <v>1.61</v>
      </c>
    </row>
    <row r="75" spans="1:35" ht="12.75">
      <c r="A75" s="357">
        <v>60</v>
      </c>
      <c r="B75" s="376" t="str">
        <f>IF(D11=1,AB75,"       Genere")</f>
        <v>       Genere</v>
      </c>
      <c r="C75" s="377" t="str">
        <f>IF(D11=1,AI75,"    Gener")</f>
        <v>    Gener</v>
      </c>
      <c r="Z75" s="592">
        <f ca="1" t="shared" si="2"/>
        <v>0.11</v>
      </c>
      <c r="AA75" s="593">
        <f ca="1" t="shared" si="3"/>
        <v>1</v>
      </c>
      <c r="AB75" s="590">
        <f>IF(AA75=0,D7-Z75,D7+Z75)</f>
        <v>1.78</v>
      </c>
      <c r="AC75" s="593">
        <f ca="1" t="shared" si="0"/>
        <v>1</v>
      </c>
      <c r="AD75" s="592">
        <f ca="1" t="shared" si="4"/>
        <v>0.01</v>
      </c>
      <c r="AE75" s="590">
        <f t="shared" si="5"/>
        <v>0.93628</v>
      </c>
      <c r="AF75" s="592">
        <f ca="1" t="shared" si="6"/>
        <v>0.05</v>
      </c>
      <c r="AG75" s="590">
        <f>INT((D8+AE75*(AB75-1.669))*100)/100</f>
        <v>1.78</v>
      </c>
      <c r="AH75" s="593">
        <f ca="1" t="shared" si="1"/>
        <v>0</v>
      </c>
      <c r="AI75" s="590">
        <f t="shared" si="7"/>
        <v>1.75</v>
      </c>
    </row>
    <row r="76" spans="1:35" ht="12.75">
      <c r="A76" s="357">
        <v>61</v>
      </c>
      <c r="B76" s="376" t="str">
        <f>IF(D11=1,AB76,"       Genere")</f>
        <v>       Genere</v>
      </c>
      <c r="C76" s="377" t="str">
        <f>IF(D11=1,AI76,"    Gener")</f>
        <v>    Gener</v>
      </c>
      <c r="Z76" s="592">
        <f ca="1" t="shared" si="2"/>
        <v>0.09</v>
      </c>
      <c r="AA76" s="593">
        <f ca="1" t="shared" si="3"/>
        <v>0</v>
      </c>
      <c r="AB76" s="590">
        <f>IF(AA76=0,D7-Z76,D7+Z76)</f>
        <v>1.5799999999999998</v>
      </c>
      <c r="AC76" s="593">
        <f ca="1" t="shared" si="0"/>
        <v>0</v>
      </c>
      <c r="AD76" s="592">
        <f ca="1" t="shared" si="4"/>
        <v>0</v>
      </c>
      <c r="AE76" s="590">
        <f t="shared" si="5"/>
        <v>0.8152799999999999</v>
      </c>
      <c r="AF76" s="592">
        <f ca="1" t="shared" si="6"/>
        <v>0.05</v>
      </c>
      <c r="AG76" s="590">
        <f>INT((D8+AE76*(AB76-1.669))*100)/100</f>
        <v>1.6</v>
      </c>
      <c r="AH76" s="593">
        <f ca="1" t="shared" si="1"/>
        <v>0</v>
      </c>
      <c r="AI76" s="590">
        <f t="shared" si="7"/>
        <v>1.62</v>
      </c>
    </row>
    <row r="77" spans="1:35" ht="12.75">
      <c r="A77" s="357">
        <v>62</v>
      </c>
      <c r="B77" s="376" t="str">
        <f>IF(D11=1,AB77,"       Genere")</f>
        <v>       Genere</v>
      </c>
      <c r="C77" s="377" t="str">
        <f>IF(D11=1,AI77,"    Gener")</f>
        <v>    Gener</v>
      </c>
      <c r="Z77" s="592">
        <f ca="1" t="shared" si="2"/>
        <v>0</v>
      </c>
      <c r="AA77" s="593">
        <f ca="1" t="shared" si="3"/>
        <v>0</v>
      </c>
      <c r="AB77" s="590">
        <f>IF(AA77=0,D7-Z77,D7+Z77)</f>
        <v>1.67</v>
      </c>
      <c r="AC77" s="593">
        <f ca="1" t="shared" si="0"/>
        <v>1</v>
      </c>
      <c r="AD77" s="592">
        <f ca="1" t="shared" si="4"/>
        <v>0.04</v>
      </c>
      <c r="AE77" s="590">
        <f t="shared" si="5"/>
        <v>0.92852</v>
      </c>
      <c r="AF77" s="592">
        <f ca="1" t="shared" si="6"/>
        <v>0.07</v>
      </c>
      <c r="AG77" s="590">
        <f>INT((D8+AE77*(AB77-1.669))*100)/100</f>
        <v>1.68</v>
      </c>
      <c r="AH77" s="593">
        <f ca="1" t="shared" si="1"/>
        <v>0</v>
      </c>
      <c r="AI77" s="590">
        <f t="shared" si="7"/>
        <v>1.71</v>
      </c>
    </row>
    <row r="78" spans="1:35" ht="12.75">
      <c r="A78" s="357">
        <v>63</v>
      </c>
      <c r="B78" s="376" t="str">
        <f>IF(D11=1,AB78,"       Genere")</f>
        <v>       Genere</v>
      </c>
      <c r="C78" s="377" t="str">
        <f>IF(D11=1,AI78,"    Gener")</f>
        <v>    Gener</v>
      </c>
      <c r="Z78" s="592">
        <f ca="1" t="shared" si="2"/>
        <v>0.11</v>
      </c>
      <c r="AA78" s="593">
        <f ca="1" t="shared" si="3"/>
        <v>0</v>
      </c>
      <c r="AB78" s="590">
        <f>IF(AA78=0,D7-Z78,D7+Z78)</f>
        <v>1.5599999999999998</v>
      </c>
      <c r="AC78" s="593">
        <f ca="1" t="shared" si="0"/>
        <v>1</v>
      </c>
      <c r="AD78" s="592">
        <f ca="1" t="shared" si="4"/>
        <v>0</v>
      </c>
      <c r="AE78" s="590">
        <f t="shared" si="5"/>
        <v>0.8049599999999999</v>
      </c>
      <c r="AF78" s="592">
        <f ca="1" t="shared" si="6"/>
        <v>0.05</v>
      </c>
      <c r="AG78" s="590">
        <f>INT((D8+AE78*(AB78-1.669))*100)/100</f>
        <v>1.59</v>
      </c>
      <c r="AH78" s="593">
        <f ca="1" t="shared" si="1"/>
        <v>1</v>
      </c>
      <c r="AI78" s="590">
        <f t="shared" si="7"/>
        <v>1.61</v>
      </c>
    </row>
    <row r="79" spans="1:35" ht="12.75">
      <c r="A79" s="357">
        <v>64</v>
      </c>
      <c r="B79" s="376" t="str">
        <f>IF(D11=1,AB79,"       Genere")</f>
        <v>       Genere</v>
      </c>
      <c r="C79" s="377" t="str">
        <f>IF(D11=1,AI79,"    Gener")</f>
        <v>    Gener</v>
      </c>
      <c r="Z79" s="592">
        <f ca="1" t="shared" si="2"/>
        <v>0.1</v>
      </c>
      <c r="AA79" s="593">
        <f ca="1" t="shared" si="3"/>
        <v>1</v>
      </c>
      <c r="AB79" s="590">
        <f>IF(AA79=0,D7-Z79,D7+Z79)</f>
        <v>1.77</v>
      </c>
      <c r="AC79" s="593">
        <f ca="1" t="shared" si="0"/>
        <v>0</v>
      </c>
      <c r="AD79" s="592">
        <f ca="1" t="shared" si="4"/>
        <v>0.02</v>
      </c>
      <c r="AE79" s="590">
        <f t="shared" si="5"/>
        <v>0.87792</v>
      </c>
      <c r="AF79" s="592">
        <f ca="1" t="shared" si="6"/>
        <v>0.02</v>
      </c>
      <c r="AG79" s="590">
        <f>INT((D8+AE79*(AB79-1.669))*100)/100</f>
        <v>1.76</v>
      </c>
      <c r="AH79" s="593">
        <f ca="1" t="shared" si="1"/>
        <v>1</v>
      </c>
      <c r="AI79" s="590">
        <f t="shared" si="7"/>
        <v>1.75</v>
      </c>
    </row>
    <row r="80" spans="1:35" ht="12.75">
      <c r="A80" s="357">
        <v>65</v>
      </c>
      <c r="B80" s="376" t="str">
        <f>IF(D11=1,AB80,"       Genere")</f>
        <v>       Genere</v>
      </c>
      <c r="C80" s="377" t="str">
        <f>IF(D11=1,AI80,"    Gener")</f>
        <v>    Gener</v>
      </c>
      <c r="Z80" s="592">
        <f ca="1" t="shared" si="2"/>
        <v>0.18</v>
      </c>
      <c r="AA80" s="593">
        <f ca="1" t="shared" si="3"/>
        <v>0</v>
      </c>
      <c r="AB80" s="590">
        <f>IF(AA80=0,D7-Z80,D7+Z80)</f>
        <v>1.49</v>
      </c>
      <c r="AC80" s="593">
        <f aca="true" ca="1" t="shared" si="8" ref="AC80:AC100">INT(RAND()*10/5)</f>
        <v>1</v>
      </c>
      <c r="AD80" s="592">
        <f ca="1" t="shared" si="4"/>
        <v>0.03</v>
      </c>
      <c r="AE80" s="590">
        <f t="shared" si="5"/>
        <v>0.81354</v>
      </c>
      <c r="AF80" s="592">
        <f ca="1" t="shared" si="6"/>
        <v>0.18</v>
      </c>
      <c r="AG80" s="590">
        <f>INT((D8+AE80*(AB80-1.669))*100)/100</f>
        <v>1.53</v>
      </c>
      <c r="AH80" s="593">
        <f aca="true" ca="1" t="shared" si="9" ref="AH80:AH100">INT(RAND()*10/5)</f>
        <v>1</v>
      </c>
      <c r="AI80" s="590">
        <f t="shared" si="7"/>
        <v>1.61</v>
      </c>
    </row>
    <row r="81" spans="1:35" ht="12.75">
      <c r="A81" s="357">
        <v>66</v>
      </c>
      <c r="B81" s="376" t="str">
        <f>IF(D11=1,AB81,"       Genere")</f>
        <v>       Genere</v>
      </c>
      <c r="C81" s="377" t="str">
        <f>IF(D11=1,AI81,"    Gener")</f>
        <v>    Gener</v>
      </c>
      <c r="Z81" s="592">
        <f aca="true" ca="1" t="shared" si="10" ref="Z81:Z100">INT(RAND()*0.23*100)/100</f>
        <v>0.07</v>
      </c>
      <c r="AA81" s="593">
        <f aca="true" ca="1" t="shared" si="11" ref="AA81:AA100">INT(RAND()*10/5)</f>
        <v>0</v>
      </c>
      <c r="AB81" s="590">
        <f>IF(AA81=0,D7-Z81,D7+Z81)</f>
        <v>1.5999999999999999</v>
      </c>
      <c r="AC81" s="593">
        <f ca="1" t="shared" si="8"/>
        <v>0</v>
      </c>
      <c r="AD81" s="592">
        <f aca="true" ca="1" t="shared" si="12" ref="AD81:AD100">INT(RAND()*0.05*100)/100</f>
        <v>0</v>
      </c>
      <c r="AE81" s="590">
        <f aca="true" t="shared" si="13" ref="AE81:AE100">IF(AC81=0,AB81*(0.516-AD81),AB81*(0.516+AD81))</f>
        <v>0.8256</v>
      </c>
      <c r="AF81" s="592">
        <f aca="true" ca="1" t="shared" si="14" ref="AF81:AF100">INT(RAND()*0.25*100)/100</f>
        <v>0.02</v>
      </c>
      <c r="AG81" s="590">
        <f>INT((D8+AE81*(AB81-1.669))*100)/100</f>
        <v>1.62</v>
      </c>
      <c r="AH81" s="593">
        <f ca="1" t="shared" si="9"/>
        <v>0</v>
      </c>
      <c r="AI81" s="590">
        <f aca="true" t="shared" si="15" ref="AI81:AI100">INT(IF(AA81=0,AG81+AF81*0.48,AG81-AF81*0.48)*100)/100</f>
        <v>1.62</v>
      </c>
    </row>
    <row r="82" spans="1:35" ht="12.75">
      <c r="A82" s="357">
        <v>67</v>
      </c>
      <c r="B82" s="376" t="str">
        <f>IF(D11=1,AB82,"       Genere")</f>
        <v>       Genere</v>
      </c>
      <c r="C82" s="377" t="str">
        <f>IF(D11=1,AI82,"    Gener")</f>
        <v>    Gener</v>
      </c>
      <c r="Z82" s="592">
        <f ca="1" t="shared" si="10"/>
        <v>0.1</v>
      </c>
      <c r="AA82" s="593">
        <f ca="1" t="shared" si="11"/>
        <v>0</v>
      </c>
      <c r="AB82" s="590">
        <f>IF(AA82=0,D7-Z82,D7+Z82)</f>
        <v>1.5699999999999998</v>
      </c>
      <c r="AC82" s="593">
        <f ca="1" t="shared" si="8"/>
        <v>1</v>
      </c>
      <c r="AD82" s="592">
        <f ca="1" t="shared" si="12"/>
        <v>0.04</v>
      </c>
      <c r="AE82" s="590">
        <f t="shared" si="13"/>
        <v>0.87292</v>
      </c>
      <c r="AF82" s="592">
        <f ca="1" t="shared" si="14"/>
        <v>0.08</v>
      </c>
      <c r="AG82" s="590">
        <f>INT((D8+AE82*(AB82-1.669))*100)/100</f>
        <v>1.59</v>
      </c>
      <c r="AH82" s="593">
        <f ca="1" t="shared" si="9"/>
        <v>0</v>
      </c>
      <c r="AI82" s="590">
        <f t="shared" si="15"/>
        <v>1.62</v>
      </c>
    </row>
    <row r="83" spans="1:35" ht="12.75">
      <c r="A83" s="357">
        <v>68</v>
      </c>
      <c r="B83" s="376" t="str">
        <f>IF(D11=1,AB83,"       Genere")</f>
        <v>       Genere</v>
      </c>
      <c r="C83" s="377" t="str">
        <f>IF(D11=1,AI83,"    Gener")</f>
        <v>    Gener</v>
      </c>
      <c r="Z83" s="592">
        <f ca="1" t="shared" si="10"/>
        <v>0.04</v>
      </c>
      <c r="AA83" s="593">
        <f ca="1" t="shared" si="11"/>
        <v>0</v>
      </c>
      <c r="AB83" s="590">
        <f>IF(AA83=0,D7-Z83,D7+Z83)</f>
        <v>1.63</v>
      </c>
      <c r="AC83" s="593">
        <f ca="1" t="shared" si="8"/>
        <v>0</v>
      </c>
      <c r="AD83" s="592">
        <f ca="1" t="shared" si="12"/>
        <v>0.02</v>
      </c>
      <c r="AE83" s="590">
        <f t="shared" si="13"/>
        <v>0.80848</v>
      </c>
      <c r="AF83" s="592">
        <f ca="1" t="shared" si="14"/>
        <v>0.1</v>
      </c>
      <c r="AG83" s="590">
        <f>INT((D8+AE83*(AB83-1.669))*100)/100</f>
        <v>1.64</v>
      </c>
      <c r="AH83" s="593">
        <f ca="1" t="shared" si="9"/>
        <v>1</v>
      </c>
      <c r="AI83" s="590">
        <f t="shared" si="15"/>
        <v>1.68</v>
      </c>
    </row>
    <row r="84" spans="1:35" ht="12.75">
      <c r="A84" s="357">
        <v>69</v>
      </c>
      <c r="B84" s="376" t="str">
        <f>IF(D11=1,AB84,"       Genere")</f>
        <v>       Genere</v>
      </c>
      <c r="C84" s="377" t="str">
        <f>IF(D11=1,AI84,"    Gener")</f>
        <v>    Gener</v>
      </c>
      <c r="Z84" s="592">
        <f ca="1" t="shared" si="10"/>
        <v>0.13</v>
      </c>
      <c r="AA84" s="593">
        <f ca="1" t="shared" si="11"/>
        <v>0</v>
      </c>
      <c r="AB84" s="590">
        <f>IF(AA84=0,D7-Z84,D7+Z84)</f>
        <v>1.54</v>
      </c>
      <c r="AC84" s="593">
        <f ca="1" t="shared" si="8"/>
        <v>0</v>
      </c>
      <c r="AD84" s="592">
        <f ca="1" t="shared" si="12"/>
        <v>0.04</v>
      </c>
      <c r="AE84" s="590">
        <f t="shared" si="13"/>
        <v>0.73304</v>
      </c>
      <c r="AF84" s="592">
        <f ca="1" t="shared" si="14"/>
        <v>0.05</v>
      </c>
      <c r="AG84" s="590">
        <f>INT((D8+AE84*(AB84-1.669))*100)/100</f>
        <v>1.58</v>
      </c>
      <c r="AH84" s="593">
        <f ca="1" t="shared" si="9"/>
        <v>1</v>
      </c>
      <c r="AI84" s="590">
        <f t="shared" si="15"/>
        <v>1.6</v>
      </c>
    </row>
    <row r="85" spans="1:35" ht="12.75">
      <c r="A85" s="357">
        <v>70</v>
      </c>
      <c r="B85" s="376" t="str">
        <f>IF(D11=1,AB85,"       Genere")</f>
        <v>       Genere</v>
      </c>
      <c r="C85" s="377" t="str">
        <f>IF(D11=1,AI85,"    Gener")</f>
        <v>    Gener</v>
      </c>
      <c r="Z85" s="592">
        <f ca="1" t="shared" si="10"/>
        <v>0.03</v>
      </c>
      <c r="AA85" s="593">
        <f ca="1" t="shared" si="11"/>
        <v>0</v>
      </c>
      <c r="AB85" s="590">
        <f>IF(AA85=0,D7-Z85,D7+Z85)</f>
        <v>1.64</v>
      </c>
      <c r="AC85" s="593">
        <f ca="1" t="shared" si="8"/>
        <v>1</v>
      </c>
      <c r="AD85" s="592">
        <f ca="1" t="shared" si="12"/>
        <v>0.03</v>
      </c>
      <c r="AE85" s="590">
        <f t="shared" si="13"/>
        <v>0.89544</v>
      </c>
      <c r="AF85" s="592">
        <f ca="1" t="shared" si="14"/>
        <v>0.08</v>
      </c>
      <c r="AG85" s="590">
        <f>INT((D8+AE85*(AB85-1.669))*100)/100</f>
        <v>1.65</v>
      </c>
      <c r="AH85" s="593">
        <f ca="1" t="shared" si="9"/>
        <v>0</v>
      </c>
      <c r="AI85" s="590">
        <f t="shared" si="15"/>
        <v>1.68</v>
      </c>
    </row>
    <row r="86" spans="1:35" ht="12.75">
      <c r="A86" s="357">
        <v>71</v>
      </c>
      <c r="B86" s="376" t="str">
        <f>IF(D11=1,AB86,"       Genere")</f>
        <v>       Genere</v>
      </c>
      <c r="C86" s="377" t="str">
        <f>IF(D11=1,AI86,"    Gener")</f>
        <v>    Gener</v>
      </c>
      <c r="Z86" s="592">
        <f ca="1" t="shared" si="10"/>
        <v>0.11</v>
      </c>
      <c r="AA86" s="593">
        <f ca="1" t="shared" si="11"/>
        <v>1</v>
      </c>
      <c r="AB86" s="590">
        <f>IF(AA86=0,D7-Z86,D7+Z86)</f>
        <v>1.78</v>
      </c>
      <c r="AC86" s="593">
        <f ca="1" t="shared" si="8"/>
        <v>1</v>
      </c>
      <c r="AD86" s="592">
        <f ca="1" t="shared" si="12"/>
        <v>0</v>
      </c>
      <c r="AE86" s="590">
        <f t="shared" si="13"/>
        <v>0.9184800000000001</v>
      </c>
      <c r="AF86" s="592">
        <f ca="1" t="shared" si="14"/>
        <v>0</v>
      </c>
      <c r="AG86" s="590">
        <f>INT((D8+AE86*(AB86-1.669))*100)/100</f>
        <v>1.78</v>
      </c>
      <c r="AH86" s="593">
        <f ca="1" t="shared" si="9"/>
        <v>1</v>
      </c>
      <c r="AI86" s="590">
        <f t="shared" si="15"/>
        <v>1.78</v>
      </c>
    </row>
    <row r="87" spans="1:35" ht="12.75">
      <c r="A87" s="357">
        <v>72</v>
      </c>
      <c r="B87" s="376" t="str">
        <f>IF(D11=1,AB87,"       Genere")</f>
        <v>       Genere</v>
      </c>
      <c r="C87" s="377" t="str">
        <f>IF(D11=1,AI87,"    Gener")</f>
        <v>    Gener</v>
      </c>
      <c r="Z87" s="592">
        <f ca="1" t="shared" si="10"/>
        <v>0.1</v>
      </c>
      <c r="AA87" s="593">
        <f ca="1" t="shared" si="11"/>
        <v>1</v>
      </c>
      <c r="AB87" s="590">
        <f>IF(AA87=0,D7-Z87,D7+Z87)</f>
        <v>1.77</v>
      </c>
      <c r="AC87" s="593">
        <f ca="1" t="shared" si="8"/>
        <v>0</v>
      </c>
      <c r="AD87" s="592">
        <f ca="1" t="shared" si="12"/>
        <v>0.03</v>
      </c>
      <c r="AE87" s="590">
        <f t="shared" si="13"/>
        <v>0.86022</v>
      </c>
      <c r="AF87" s="592">
        <f ca="1" t="shared" si="14"/>
        <v>0.13</v>
      </c>
      <c r="AG87" s="590">
        <f>INT((D8+AE87*(AB87-1.669))*100)/100</f>
        <v>1.76</v>
      </c>
      <c r="AH87" s="593">
        <f ca="1" t="shared" si="9"/>
        <v>1</v>
      </c>
      <c r="AI87" s="590">
        <f t="shared" si="15"/>
        <v>1.69</v>
      </c>
    </row>
    <row r="88" spans="1:35" ht="12.75">
      <c r="A88" s="357">
        <v>73</v>
      </c>
      <c r="B88" s="376" t="str">
        <f>IF(D11=1,AB88,"       Genere")</f>
        <v>       Genere</v>
      </c>
      <c r="C88" s="377" t="str">
        <f>IF(D11=1,AI88,"    Gener")</f>
        <v>    Gener</v>
      </c>
      <c r="Z88" s="592">
        <f ca="1" t="shared" si="10"/>
        <v>0.06</v>
      </c>
      <c r="AA88" s="593">
        <f ca="1" t="shared" si="11"/>
        <v>1</v>
      </c>
      <c r="AB88" s="590">
        <f>IF(AA88=0,D7-Z88,D7+Z88)</f>
        <v>1.73</v>
      </c>
      <c r="AC88" s="593">
        <f ca="1" t="shared" si="8"/>
        <v>1</v>
      </c>
      <c r="AD88" s="592">
        <f ca="1" t="shared" si="12"/>
        <v>0.01</v>
      </c>
      <c r="AE88" s="590">
        <f t="shared" si="13"/>
        <v>0.90998</v>
      </c>
      <c r="AF88" s="592">
        <f ca="1" t="shared" si="14"/>
        <v>0.07</v>
      </c>
      <c r="AG88" s="590">
        <f>INT((D8+AE88*(AB88-1.669))*100)/100</f>
        <v>1.73</v>
      </c>
      <c r="AH88" s="593">
        <f ca="1" t="shared" si="9"/>
        <v>0</v>
      </c>
      <c r="AI88" s="590">
        <f t="shared" si="15"/>
        <v>1.69</v>
      </c>
    </row>
    <row r="89" spans="1:35" ht="12.75">
      <c r="A89" s="357">
        <v>74</v>
      </c>
      <c r="B89" s="376" t="str">
        <f>IF(D11=1,AB89,"       Genere")</f>
        <v>       Genere</v>
      </c>
      <c r="C89" s="377" t="str">
        <f>IF(D11=1,AI89,"    Gener")</f>
        <v>    Gener</v>
      </c>
      <c r="Z89" s="592">
        <f ca="1" t="shared" si="10"/>
        <v>0.05</v>
      </c>
      <c r="AA89" s="593">
        <f ca="1" t="shared" si="11"/>
        <v>0</v>
      </c>
      <c r="AB89" s="590">
        <f>IF(AA89=0,D7-Z89,D7+Z89)</f>
        <v>1.6199999999999999</v>
      </c>
      <c r="AC89" s="593">
        <f ca="1" t="shared" si="8"/>
        <v>1</v>
      </c>
      <c r="AD89" s="592">
        <f ca="1" t="shared" si="12"/>
        <v>0.02</v>
      </c>
      <c r="AE89" s="590">
        <f t="shared" si="13"/>
        <v>0.86832</v>
      </c>
      <c r="AF89" s="592">
        <f ca="1" t="shared" si="14"/>
        <v>0.21</v>
      </c>
      <c r="AG89" s="590">
        <f>INT((D8+AE89*(AB89-1.669))*100)/100</f>
        <v>1.63</v>
      </c>
      <c r="AH89" s="593">
        <f ca="1" t="shared" si="9"/>
        <v>1</v>
      </c>
      <c r="AI89" s="590">
        <f t="shared" si="15"/>
        <v>1.73</v>
      </c>
    </row>
    <row r="90" spans="1:35" ht="12.75">
      <c r="A90" s="357">
        <v>75</v>
      </c>
      <c r="B90" s="376" t="str">
        <f>IF(D11=1,AB90,"       Genere")</f>
        <v>       Genere</v>
      </c>
      <c r="C90" s="377" t="str">
        <f>IF(D11=1,AI90,"    Gener")</f>
        <v>    Gener</v>
      </c>
      <c r="Z90" s="592">
        <f ca="1" t="shared" si="10"/>
        <v>0.22</v>
      </c>
      <c r="AA90" s="593">
        <f ca="1" t="shared" si="11"/>
        <v>1</v>
      </c>
      <c r="AB90" s="590">
        <f>IF(AA90=0,D7-Z90,D7+Z90)</f>
        <v>1.89</v>
      </c>
      <c r="AC90" s="593">
        <f ca="1" t="shared" si="8"/>
        <v>0</v>
      </c>
      <c r="AD90" s="592">
        <f ca="1" t="shared" si="12"/>
        <v>0.04</v>
      </c>
      <c r="AE90" s="590">
        <f t="shared" si="13"/>
        <v>0.89964</v>
      </c>
      <c r="AF90" s="592">
        <f ca="1" t="shared" si="14"/>
        <v>0</v>
      </c>
      <c r="AG90" s="590">
        <f>INT((D8+AE90*(AB90-1.669))*100)/100</f>
        <v>1.87</v>
      </c>
      <c r="AH90" s="593">
        <f ca="1" t="shared" si="9"/>
        <v>0</v>
      </c>
      <c r="AI90" s="590">
        <f t="shared" si="15"/>
        <v>1.87</v>
      </c>
    </row>
    <row r="91" spans="1:35" ht="12.75">
      <c r="A91" s="357">
        <v>76</v>
      </c>
      <c r="B91" s="376" t="str">
        <f>IF(D11=1,AB91,"       Genere")</f>
        <v>       Genere</v>
      </c>
      <c r="C91" s="377" t="str">
        <f>IF(D11=1,AI91,"    Gener")</f>
        <v>    Gener</v>
      </c>
      <c r="Z91" s="592">
        <f ca="1" t="shared" si="10"/>
        <v>0.06</v>
      </c>
      <c r="AA91" s="593">
        <f ca="1" t="shared" si="11"/>
        <v>0</v>
      </c>
      <c r="AB91" s="590">
        <f>IF(AA91=0,D7-Z91,D7+Z91)</f>
        <v>1.6099999999999999</v>
      </c>
      <c r="AC91" s="593">
        <f ca="1" t="shared" si="8"/>
        <v>1</v>
      </c>
      <c r="AD91" s="592">
        <f ca="1" t="shared" si="12"/>
        <v>0.02</v>
      </c>
      <c r="AE91" s="590">
        <f t="shared" si="13"/>
        <v>0.86296</v>
      </c>
      <c r="AF91" s="592">
        <f ca="1" t="shared" si="14"/>
        <v>0.09</v>
      </c>
      <c r="AG91" s="590">
        <f>INT((D8+AE91*(AB91-1.669))*100)/100</f>
        <v>1.62</v>
      </c>
      <c r="AH91" s="593">
        <f ca="1" t="shared" si="9"/>
        <v>1</v>
      </c>
      <c r="AI91" s="590">
        <f t="shared" si="15"/>
        <v>1.66</v>
      </c>
    </row>
    <row r="92" spans="1:35" ht="12.75">
      <c r="A92" s="357">
        <v>77</v>
      </c>
      <c r="B92" s="376" t="str">
        <f>IF(D11=1,AB92,"       Genere")</f>
        <v>       Genere</v>
      </c>
      <c r="C92" s="377" t="str">
        <f>IF(D11=1,AI92,"    Gener")</f>
        <v>    Gener</v>
      </c>
      <c r="Z92" s="592">
        <f ca="1" t="shared" si="10"/>
        <v>0.02</v>
      </c>
      <c r="AA92" s="593">
        <f ca="1" t="shared" si="11"/>
        <v>1</v>
      </c>
      <c r="AB92" s="590">
        <f>IF(AA92=0,D7-Z92,D7+Z92)</f>
        <v>1.69</v>
      </c>
      <c r="AC92" s="593">
        <f ca="1" t="shared" si="8"/>
        <v>0</v>
      </c>
      <c r="AD92" s="592">
        <f ca="1" t="shared" si="12"/>
        <v>0.02</v>
      </c>
      <c r="AE92" s="590">
        <f t="shared" si="13"/>
        <v>0.83824</v>
      </c>
      <c r="AF92" s="592">
        <f ca="1" t="shared" si="14"/>
        <v>0.02</v>
      </c>
      <c r="AG92" s="590">
        <f>INT((D8+AE92*(AB92-1.669))*100)/100</f>
        <v>1.69</v>
      </c>
      <c r="AH92" s="593">
        <f ca="1" t="shared" si="9"/>
        <v>0</v>
      </c>
      <c r="AI92" s="590">
        <f t="shared" si="15"/>
        <v>1.68</v>
      </c>
    </row>
    <row r="93" spans="1:35" ht="12.75">
      <c r="A93" s="357">
        <v>78</v>
      </c>
      <c r="B93" s="376" t="str">
        <f>IF(D11=1,AB93,"       Genere")</f>
        <v>       Genere</v>
      </c>
      <c r="C93" s="377" t="str">
        <f>IF(D11=1,AI93,"    Gener")</f>
        <v>    Gener</v>
      </c>
      <c r="Z93" s="592">
        <f ca="1" t="shared" si="10"/>
        <v>0</v>
      </c>
      <c r="AA93" s="593">
        <f ca="1" t="shared" si="11"/>
        <v>1</v>
      </c>
      <c r="AB93" s="590">
        <f>IF(AA93=0,D7-Z93,D7+Z93)</f>
        <v>1.67</v>
      </c>
      <c r="AC93" s="593">
        <f ca="1" t="shared" si="8"/>
        <v>1</v>
      </c>
      <c r="AD93" s="592">
        <f ca="1" t="shared" si="12"/>
        <v>0.04</v>
      </c>
      <c r="AE93" s="590">
        <f t="shared" si="13"/>
        <v>0.92852</v>
      </c>
      <c r="AF93" s="592">
        <f ca="1" t="shared" si="14"/>
        <v>0.22</v>
      </c>
      <c r="AG93" s="590">
        <f>INT((D8+AE93*(AB93-1.669))*100)/100</f>
        <v>1.68</v>
      </c>
      <c r="AH93" s="593">
        <f ca="1" t="shared" si="9"/>
        <v>1</v>
      </c>
      <c r="AI93" s="590">
        <f t="shared" si="15"/>
        <v>1.57</v>
      </c>
    </row>
    <row r="94" spans="1:35" ht="12.75">
      <c r="A94" s="357">
        <v>79</v>
      </c>
      <c r="B94" s="376" t="str">
        <f>IF(D11=1,AB94,"       Genere")</f>
        <v>       Genere</v>
      </c>
      <c r="C94" s="377" t="str">
        <f>IF(D11=1,AI94,"    Gener")</f>
        <v>    Gener</v>
      </c>
      <c r="Z94" s="592">
        <f ca="1" t="shared" si="10"/>
        <v>0.08</v>
      </c>
      <c r="AA94" s="593">
        <f ca="1" t="shared" si="11"/>
        <v>1</v>
      </c>
      <c r="AB94" s="590">
        <f>IF(AA94=0,D7-Z94,D7+Z94)</f>
        <v>1.75</v>
      </c>
      <c r="AC94" s="593">
        <f ca="1" t="shared" si="8"/>
        <v>1</v>
      </c>
      <c r="AD94" s="592">
        <f ca="1" t="shared" si="12"/>
        <v>0.03</v>
      </c>
      <c r="AE94" s="590">
        <f t="shared" si="13"/>
        <v>0.9555</v>
      </c>
      <c r="AF94" s="592">
        <f ca="1" t="shared" si="14"/>
        <v>0.05</v>
      </c>
      <c r="AG94" s="590">
        <f>INT((D8+AE94*(AB94-1.669))*100)/100</f>
        <v>1.75</v>
      </c>
      <c r="AH94" s="593">
        <f ca="1" t="shared" si="9"/>
        <v>1</v>
      </c>
      <c r="AI94" s="590">
        <f t="shared" si="15"/>
        <v>1.72</v>
      </c>
    </row>
    <row r="95" spans="1:35" ht="12.75">
      <c r="A95" s="357">
        <v>80</v>
      </c>
      <c r="B95" s="376" t="str">
        <f>IF(D11=1,AB95,"       Genere")</f>
        <v>       Genere</v>
      </c>
      <c r="C95" s="377" t="str">
        <f>IF(D11=1,AI95,"    Gener")</f>
        <v>    Gener</v>
      </c>
      <c r="Z95" s="592">
        <f ca="1" t="shared" si="10"/>
        <v>0.18</v>
      </c>
      <c r="AA95" s="593">
        <f ca="1" t="shared" si="11"/>
        <v>1</v>
      </c>
      <c r="AB95" s="590">
        <f>IF(AA95=0,D7-Z95,D7+Z95)</f>
        <v>1.8499999999999999</v>
      </c>
      <c r="AC95" s="593">
        <f ca="1" t="shared" si="8"/>
        <v>0</v>
      </c>
      <c r="AD95" s="592">
        <f ca="1" t="shared" si="12"/>
        <v>0.03</v>
      </c>
      <c r="AE95" s="590">
        <f t="shared" si="13"/>
        <v>0.8990999999999999</v>
      </c>
      <c r="AF95" s="592">
        <f ca="1" t="shared" si="14"/>
        <v>0.04</v>
      </c>
      <c r="AG95" s="590">
        <f>INT((D8+AE95*(AB95-1.669))*100)/100</f>
        <v>1.84</v>
      </c>
      <c r="AH95" s="593">
        <f ca="1" t="shared" si="9"/>
        <v>0</v>
      </c>
      <c r="AI95" s="590">
        <f t="shared" si="15"/>
        <v>1.82</v>
      </c>
    </row>
    <row r="96" spans="1:35" ht="12.75">
      <c r="A96" s="357">
        <v>81</v>
      </c>
      <c r="B96" s="376" t="str">
        <f>IF(D11=1,AB96,"       Genere")</f>
        <v>       Genere</v>
      </c>
      <c r="C96" s="377" t="str">
        <f>IF(D11=1,AI96,"    Gener")</f>
        <v>    Gener</v>
      </c>
      <c r="Z96" s="592">
        <f ca="1" t="shared" si="10"/>
        <v>0.22</v>
      </c>
      <c r="AA96" s="593">
        <f ca="1" t="shared" si="11"/>
        <v>0</v>
      </c>
      <c r="AB96" s="590">
        <f>IF(AA96=0,D7-Z96,D7+Z96)</f>
        <v>1.45</v>
      </c>
      <c r="AC96" s="593">
        <f ca="1" t="shared" si="8"/>
        <v>0</v>
      </c>
      <c r="AD96" s="592">
        <f ca="1" t="shared" si="12"/>
        <v>0.04</v>
      </c>
      <c r="AE96" s="590">
        <f t="shared" si="13"/>
        <v>0.6902</v>
      </c>
      <c r="AF96" s="592">
        <f ca="1" t="shared" si="14"/>
        <v>0.03</v>
      </c>
      <c r="AG96" s="590">
        <f>INT((D8+AE96*(AB96-1.669))*100)/100</f>
        <v>1.52</v>
      </c>
      <c r="AH96" s="593">
        <f ca="1" t="shared" si="9"/>
        <v>1</v>
      </c>
      <c r="AI96" s="590">
        <f t="shared" si="15"/>
        <v>1.53</v>
      </c>
    </row>
    <row r="97" spans="1:35" ht="12.75">
      <c r="A97" s="357">
        <v>82</v>
      </c>
      <c r="B97" s="376" t="str">
        <f>IF(D11=1,AB97,"       Genere")</f>
        <v>       Genere</v>
      </c>
      <c r="C97" s="377" t="str">
        <f>IF(D11=1,AI97,"    Gener")</f>
        <v>    Gener</v>
      </c>
      <c r="Z97" s="592">
        <f ca="1" t="shared" si="10"/>
        <v>0.15</v>
      </c>
      <c r="AA97" s="593">
        <f ca="1" t="shared" si="11"/>
        <v>0</v>
      </c>
      <c r="AB97" s="590">
        <f>IF(AA97=0,D7-Z97,D7+Z97)</f>
        <v>1.52</v>
      </c>
      <c r="AC97" s="593">
        <f ca="1" t="shared" si="8"/>
        <v>0</v>
      </c>
      <c r="AD97" s="592">
        <f ca="1" t="shared" si="12"/>
        <v>0.03</v>
      </c>
      <c r="AE97" s="590">
        <f t="shared" si="13"/>
        <v>0.73872</v>
      </c>
      <c r="AF97" s="592">
        <f ca="1" t="shared" si="14"/>
        <v>0.16</v>
      </c>
      <c r="AG97" s="590">
        <f>INT((D8+AE97*(AB97-1.669))*100)/100</f>
        <v>1.56</v>
      </c>
      <c r="AH97" s="593">
        <f ca="1" t="shared" si="9"/>
        <v>1</v>
      </c>
      <c r="AI97" s="590">
        <f t="shared" si="15"/>
        <v>1.63</v>
      </c>
    </row>
    <row r="98" spans="1:35" ht="12.75">
      <c r="A98" s="357">
        <v>83</v>
      </c>
      <c r="B98" s="376" t="str">
        <f>IF(D11=1,AB98,"       Genere")</f>
        <v>       Genere</v>
      </c>
      <c r="C98" s="377" t="str">
        <f>IF(D11=1,AI98,"    Gener")</f>
        <v>    Gener</v>
      </c>
      <c r="Z98" s="592">
        <f ca="1" t="shared" si="10"/>
        <v>0.15</v>
      </c>
      <c r="AA98" s="593">
        <f ca="1" t="shared" si="11"/>
        <v>1</v>
      </c>
      <c r="AB98" s="590">
        <f>IF(AA98=0,D7-Z98,D7+Z98)</f>
        <v>1.8199999999999998</v>
      </c>
      <c r="AC98" s="593">
        <f ca="1" t="shared" si="8"/>
        <v>1</v>
      </c>
      <c r="AD98" s="592">
        <f ca="1" t="shared" si="12"/>
        <v>0</v>
      </c>
      <c r="AE98" s="590">
        <f t="shared" si="13"/>
        <v>0.93912</v>
      </c>
      <c r="AF98" s="592">
        <f ca="1" t="shared" si="14"/>
        <v>0.15</v>
      </c>
      <c r="AG98" s="590">
        <f>INT((D8+AE98*(AB98-1.669))*100)/100</f>
        <v>1.82</v>
      </c>
      <c r="AH98" s="593">
        <f ca="1" t="shared" si="9"/>
        <v>0</v>
      </c>
      <c r="AI98" s="590">
        <f t="shared" si="15"/>
        <v>1.74</v>
      </c>
    </row>
    <row r="99" spans="1:35" ht="12.75">
      <c r="A99" s="357">
        <v>84</v>
      </c>
      <c r="B99" s="376" t="str">
        <f>IF(D11=1,AB99,"       Genere")</f>
        <v>       Genere</v>
      </c>
      <c r="C99" s="377" t="str">
        <f>IF(D11=1,AI99,"    Gener")</f>
        <v>    Gener</v>
      </c>
      <c r="Z99" s="592">
        <f ca="1" t="shared" si="10"/>
        <v>0.1</v>
      </c>
      <c r="AA99" s="593">
        <f ca="1" t="shared" si="11"/>
        <v>0</v>
      </c>
      <c r="AB99" s="590">
        <f>IF(AA99=0,D7-Z99,D7+Z99)</f>
        <v>1.5699999999999998</v>
      </c>
      <c r="AC99" s="593">
        <f ca="1" t="shared" si="8"/>
        <v>0</v>
      </c>
      <c r="AD99" s="592">
        <f ca="1" t="shared" si="12"/>
        <v>0</v>
      </c>
      <c r="AE99" s="590">
        <f t="shared" si="13"/>
        <v>0.81012</v>
      </c>
      <c r="AF99" s="592">
        <f ca="1" t="shared" si="14"/>
        <v>0.14</v>
      </c>
      <c r="AG99" s="590">
        <f>INT((D8+AE99*(AB99-1.669))*100)/100</f>
        <v>1.59</v>
      </c>
      <c r="AH99" s="593">
        <f ca="1" t="shared" si="9"/>
        <v>0</v>
      </c>
      <c r="AI99" s="590">
        <f t="shared" si="15"/>
        <v>1.65</v>
      </c>
    </row>
    <row r="100" spans="1:35" ht="12.75">
      <c r="A100" s="367">
        <v>85</v>
      </c>
      <c r="B100" s="379" t="str">
        <f>IF(D11=1,AB100,"       Genere")</f>
        <v>       Genere</v>
      </c>
      <c r="C100" s="380" t="str">
        <f>IF(D11=1,AI100,"    Gener")</f>
        <v>    Gener</v>
      </c>
      <c r="Z100" s="592">
        <f ca="1" t="shared" si="10"/>
        <v>0.18</v>
      </c>
      <c r="AA100" s="593">
        <f ca="1" t="shared" si="11"/>
        <v>1</v>
      </c>
      <c r="AB100" s="590">
        <f>IF(AA100=0,D7-Z100,D7+Z100)</f>
        <v>1.8499999999999999</v>
      </c>
      <c r="AC100" s="593">
        <f ca="1" t="shared" si="8"/>
        <v>0</v>
      </c>
      <c r="AD100" s="592">
        <f ca="1" t="shared" si="12"/>
        <v>0</v>
      </c>
      <c r="AE100" s="590">
        <f t="shared" si="13"/>
        <v>0.9546</v>
      </c>
      <c r="AF100" s="592">
        <f ca="1" t="shared" si="14"/>
        <v>0.17</v>
      </c>
      <c r="AG100" s="590">
        <f>INT((D8+AE100*(AB100-1.669))*100)/100</f>
        <v>1.85</v>
      </c>
      <c r="AH100" s="593">
        <f ca="1" t="shared" si="9"/>
        <v>0</v>
      </c>
      <c r="AI100" s="590">
        <f t="shared" si="15"/>
        <v>1.76</v>
      </c>
    </row>
    <row r="101" ht="12.75"/>
    <row r="102" ht="12.75"/>
    <row r="103" ht="12.75">
      <c r="A103" s="352" t="s">
        <v>15</v>
      </c>
    </row>
    <row r="104" ht="12.75"/>
    <row r="105" ht="12.75"/>
    <row r="106" spans="1:8" ht="12.75">
      <c r="A106" s="370"/>
      <c r="B106" s="381"/>
      <c r="C106" s="381"/>
      <c r="D106" s="381"/>
      <c r="E106" s="381"/>
      <c r="F106" s="381"/>
      <c r="G106" s="638" t="s">
        <v>16</v>
      </c>
      <c r="H106" s="637"/>
    </row>
    <row r="107" spans="1:8" ht="12.75">
      <c r="A107" s="367" t="s">
        <v>17</v>
      </c>
      <c r="B107" s="368"/>
      <c r="C107" s="368"/>
      <c r="D107" s="368"/>
      <c r="E107" s="382" t="s">
        <v>18</v>
      </c>
      <c r="F107" s="382" t="s">
        <v>19</v>
      </c>
      <c r="G107" s="382" t="s">
        <v>10</v>
      </c>
      <c r="H107" s="382" t="s">
        <v>11</v>
      </c>
    </row>
    <row r="108" spans="1:8" ht="12.75">
      <c r="A108" s="357" t="s">
        <v>3</v>
      </c>
      <c r="B108" s="358"/>
      <c r="C108" s="358"/>
      <c r="D108" s="358"/>
      <c r="E108" s="25">
        <v>1.67</v>
      </c>
      <c r="F108" s="383"/>
      <c r="G108" s="383"/>
      <c r="H108" s="383"/>
    </row>
    <row r="109" spans="1:8" ht="12.75">
      <c r="A109" s="357" t="s">
        <v>4</v>
      </c>
      <c r="B109" s="358"/>
      <c r="C109" s="358"/>
      <c r="D109" s="358"/>
      <c r="E109" s="27">
        <v>1.68</v>
      </c>
      <c r="F109" s="361"/>
      <c r="G109" s="361"/>
      <c r="H109" s="361"/>
    </row>
    <row r="110" spans="1:8" ht="12.75">
      <c r="A110" s="357" t="s">
        <v>20</v>
      </c>
      <c r="B110" s="358"/>
      <c r="C110" s="358"/>
      <c r="D110" s="358"/>
      <c r="E110" s="27">
        <v>64</v>
      </c>
      <c r="F110" s="359" t="str">
        <f>IF(E112=1,AVERAGE(C118:C202),"    Genere")</f>
        <v>    Genere</v>
      </c>
      <c r="G110" s="362" t="str">
        <f>IF(E112=1,CORREL(B118:B202,C118:C202),"    Genere")</f>
        <v>    Genere</v>
      </c>
      <c r="H110" s="362" t="str">
        <f>IF(E112=1,CORREL(D118:D202,E118:E202),"    Genere")</f>
        <v>    Genere</v>
      </c>
    </row>
    <row r="111" spans="1:8" ht="13.5" thickBot="1">
      <c r="A111" s="373" t="s">
        <v>21</v>
      </c>
      <c r="B111" s="384"/>
      <c r="C111" s="384"/>
      <c r="D111" s="384"/>
      <c r="E111" s="311">
        <v>66</v>
      </c>
      <c r="F111" s="385" t="str">
        <f>IF(E112=1,AVERAGE(E118:E202),"    Genere")</f>
        <v>    Genere</v>
      </c>
      <c r="G111" s="386"/>
      <c r="H111" s="386"/>
    </row>
    <row r="112" spans="1:8" ht="13.5" thickTop="1">
      <c r="A112" s="367" t="s">
        <v>7</v>
      </c>
      <c r="B112" s="368"/>
      <c r="C112" s="368"/>
      <c r="D112" s="368"/>
      <c r="E112" s="29">
        <v>0</v>
      </c>
      <c r="F112" s="387"/>
      <c r="G112" s="387"/>
      <c r="H112" s="387"/>
    </row>
    <row r="113" ht="12.75"/>
    <row r="114" ht="12.75"/>
    <row r="115" ht="12.75"/>
    <row r="116" spans="1:36" ht="12.75">
      <c r="A116" s="388"/>
      <c r="B116" s="639" t="s">
        <v>10</v>
      </c>
      <c r="C116" s="640"/>
      <c r="D116" s="639" t="s">
        <v>11</v>
      </c>
      <c r="E116" s="640"/>
      <c r="X116" s="591">
        <f>AVERAGE(X118:X129)</f>
        <v>1.6691666666666667</v>
      </c>
      <c r="AJ116" s="590">
        <v>41.5</v>
      </c>
    </row>
    <row r="117" spans="1:36" ht="13.5" thickBot="1">
      <c r="A117" s="389" t="s">
        <v>9</v>
      </c>
      <c r="B117" s="390" t="s">
        <v>22</v>
      </c>
      <c r="C117" s="390" t="s">
        <v>23</v>
      </c>
      <c r="D117" s="391" t="s">
        <v>24</v>
      </c>
      <c r="E117" s="391" t="s">
        <v>25</v>
      </c>
      <c r="X117" s="590" t="s">
        <v>12</v>
      </c>
      <c r="Y117" s="590" t="s">
        <v>13</v>
      </c>
      <c r="AB117" s="590" t="s">
        <v>14</v>
      </c>
      <c r="AJ117" s="590">
        <f>AJ116/2</f>
        <v>20.75</v>
      </c>
    </row>
    <row r="118" spans="1:43" ht="13.5" thickTop="1">
      <c r="A118" s="357">
        <v>1</v>
      </c>
      <c r="B118" s="376" t="str">
        <f>IF(E112=1,AB118,"       Genere")</f>
        <v>       Genere</v>
      </c>
      <c r="C118" s="377" t="str">
        <f>IF(E112=1,AM118,"    Gener")</f>
        <v>    Gener</v>
      </c>
      <c r="D118" s="377" t="str">
        <f>IF(E112=1,AI118,"    Gener")</f>
        <v>    Gener</v>
      </c>
      <c r="E118" s="377" t="str">
        <f>IF(E112=1,AQ118,"    Gener")</f>
        <v>    Gener</v>
      </c>
      <c r="X118" s="591">
        <v>1.63</v>
      </c>
      <c r="Y118" s="591">
        <v>1.7</v>
      </c>
      <c r="Z118" s="592">
        <f ca="1">INT(RAND()*0.23*100)/100</f>
        <v>0.06</v>
      </c>
      <c r="AA118" s="593">
        <f ca="1">INT(RAND()*10/5)</f>
        <v>0</v>
      </c>
      <c r="AB118" s="590">
        <f>IF(AA118=0,E108-Z118,E108+Z118)</f>
        <v>1.6099999999999999</v>
      </c>
      <c r="AC118" s="593">
        <f aca="true" ca="1" t="shared" si="16" ref="AC118:AC181">INT(RAND()*10/5)</f>
        <v>0</v>
      </c>
      <c r="AD118" s="592">
        <f ca="1">INT(RAND()*0.05*100)/100</f>
        <v>0.04</v>
      </c>
      <c r="AE118" s="590">
        <f>IF(AC118=0,AB118*(0.516-AD118),AB118*(0.516+AD118))</f>
        <v>0.76636</v>
      </c>
      <c r="AF118" s="592">
        <f ca="1">INT(RAND()*0.25*100)/100</f>
        <v>0.2</v>
      </c>
      <c r="AG118" s="590">
        <f>INT((E109+AE118*(AB118-1.669))*100)/100</f>
        <v>1.63</v>
      </c>
      <c r="AH118" s="593">
        <f aca="true" ca="1" t="shared" si="17" ref="AH118:AH181">INT(RAND()*10/5)</f>
        <v>1</v>
      </c>
      <c r="AI118" s="590">
        <f>INT(IF(AA118=0,AG118+AF118*0.48,AG118-AF118*0.48)*100)/100</f>
        <v>1.72</v>
      </c>
      <c r="AJ118" s="590">
        <f ca="1">INT(RAND()*20.75)</f>
        <v>4</v>
      </c>
      <c r="AK118" s="590">
        <f ca="1">INT(RAND()*10/5)</f>
        <v>0</v>
      </c>
      <c r="AL118" s="590">
        <f>INT((-26.98+53.08*AB118+10)*10)/10</f>
        <v>68.4</v>
      </c>
      <c r="AM118" s="590">
        <f>IF(AK118=0,AL118-AJ118,AL118+AJ118)</f>
        <v>64.4</v>
      </c>
      <c r="AN118" s="590">
        <f ca="1">INT(RAND()*20.75)</f>
        <v>17</v>
      </c>
      <c r="AO118" s="590">
        <f ca="1">INT(RAND()*10/5)</f>
        <v>0</v>
      </c>
      <c r="AP118" s="590">
        <f>INT((-26.98+53.08*AI118+12)*10)/10</f>
        <v>76.3</v>
      </c>
      <c r="AQ118" s="590">
        <f>IF(AO118=0,AP118-AN118,AP118+AN118)</f>
        <v>59.3</v>
      </c>
    </row>
    <row r="119" spans="1:43" ht="12.75">
      <c r="A119" s="357">
        <v>2</v>
      </c>
      <c r="B119" s="376" t="str">
        <f>IF(E112=1,AB119,"       Genere")</f>
        <v>       Genere</v>
      </c>
      <c r="C119" s="377" t="str">
        <f>IF(E112=1,AM119,"    Gener")</f>
        <v>    Gener</v>
      </c>
      <c r="D119" s="377" t="str">
        <f>IF(E112=1,AI119,"    Gener")</f>
        <v>    Gener</v>
      </c>
      <c r="E119" s="377" t="str">
        <f>IF(E112=1,AQ119,"    Gener")</f>
        <v>    Gener</v>
      </c>
      <c r="X119" s="591">
        <v>1.58</v>
      </c>
      <c r="Y119" s="591">
        <v>1.65</v>
      </c>
      <c r="Z119" s="592">
        <f aca="true" ca="1" t="shared" si="18" ref="Z119:Z182">INT(RAND()*0.23*100)/100</f>
        <v>0.21</v>
      </c>
      <c r="AA119" s="593">
        <f aca="true" ca="1" t="shared" si="19" ref="AA119:AA182">INT(RAND()*10/5)</f>
        <v>0</v>
      </c>
      <c r="AB119" s="590">
        <f>IF(AA119=0,E108-Z119,E108+Z119)</f>
        <v>1.46</v>
      </c>
      <c r="AC119" s="593">
        <f ca="1" t="shared" si="16"/>
        <v>0</v>
      </c>
      <c r="AD119" s="592">
        <f aca="true" ca="1" t="shared" si="20" ref="AD119:AD182">INT(RAND()*0.05*100)/100</f>
        <v>0.02</v>
      </c>
      <c r="AE119" s="590">
        <f aca="true" t="shared" si="21" ref="AE119:AE182">IF(AC119=0,AB119*(0.516-AD119),AB119*(0.516+AD119))</f>
        <v>0.72416</v>
      </c>
      <c r="AF119" s="592">
        <f aca="true" ca="1" t="shared" si="22" ref="AF119:AF182">INT(RAND()*0.25*100)/100</f>
        <v>0.21</v>
      </c>
      <c r="AG119" s="590">
        <f>INT((E109+AE119*(AB119-1.669))*100)/100</f>
        <v>1.52</v>
      </c>
      <c r="AH119" s="593">
        <f ca="1" t="shared" si="17"/>
        <v>1</v>
      </c>
      <c r="AI119" s="590">
        <f aca="true" t="shared" si="23" ref="AI119:AI182">INT(IF(AA119=0,AG119+AF119*0.48,AG119-AF119*0.48)*100)/100</f>
        <v>1.62</v>
      </c>
      <c r="AJ119" s="590">
        <f aca="true" ca="1" t="shared" si="24" ref="AJ119:AJ182">INT(RAND()*20.75)</f>
        <v>1</v>
      </c>
      <c r="AK119" s="590">
        <f aca="true" ca="1" t="shared" si="25" ref="AK119:AK182">INT(RAND()*10/5)</f>
        <v>1</v>
      </c>
      <c r="AL119" s="590">
        <f aca="true" t="shared" si="26" ref="AL119:AL182">INT((-26.98+53.08*AB119+10)*10)/10</f>
        <v>60.5</v>
      </c>
      <c r="AM119" s="590">
        <f aca="true" t="shared" si="27" ref="AM119:AM182">IF(AK119=0,AL119-AJ119,AL119+AJ119)</f>
        <v>61.5</v>
      </c>
      <c r="AN119" s="590">
        <f aca="true" ca="1" t="shared" si="28" ref="AN119:AN182">INT(RAND()*20.75)</f>
        <v>20</v>
      </c>
      <c r="AO119" s="590">
        <f aca="true" ca="1" t="shared" si="29" ref="AO119:AO182">INT(RAND()*10/5)</f>
        <v>1</v>
      </c>
      <c r="AP119" s="590">
        <f aca="true" t="shared" si="30" ref="AP119:AP182">INT((-26.98+53.08*AI119+12)*10)/10</f>
        <v>71</v>
      </c>
      <c r="AQ119" s="590">
        <f aca="true" t="shared" si="31" ref="AQ119:AQ182">IF(AO119=0,AP119-AN119,AP119+AN119)</f>
        <v>91</v>
      </c>
    </row>
    <row r="120" spans="1:43" ht="12.75">
      <c r="A120" s="357">
        <v>3</v>
      </c>
      <c r="B120" s="376" t="str">
        <f>IF(E112=1,AB120,"       Genere")</f>
        <v>       Genere</v>
      </c>
      <c r="C120" s="377" t="str">
        <f>IF(E112=1,AM120,"    Gener")</f>
        <v>    Gener</v>
      </c>
      <c r="D120" s="377" t="str">
        <f>IF(E112=1,AI120,"    Gener")</f>
        <v>    Gener</v>
      </c>
      <c r="E120" s="377" t="str">
        <f>IF(E112=1,AQ120,"    Gener")</f>
        <v>    Gener</v>
      </c>
      <c r="X120" s="591">
        <v>1.68</v>
      </c>
      <c r="Y120" s="591">
        <v>1.7</v>
      </c>
      <c r="Z120" s="592">
        <f ca="1" t="shared" si="18"/>
        <v>0.13</v>
      </c>
      <c r="AA120" s="593">
        <f ca="1" t="shared" si="19"/>
        <v>1</v>
      </c>
      <c r="AB120" s="590">
        <f>IF(AA120=0,E108-Z120,E108+Z120)</f>
        <v>1.7999999999999998</v>
      </c>
      <c r="AC120" s="593">
        <f ca="1" t="shared" si="16"/>
        <v>0</v>
      </c>
      <c r="AD120" s="592">
        <f ca="1" t="shared" si="20"/>
        <v>0.01</v>
      </c>
      <c r="AE120" s="590">
        <f t="shared" si="21"/>
        <v>0.9107999999999999</v>
      </c>
      <c r="AF120" s="592">
        <f ca="1" t="shared" si="22"/>
        <v>0.08</v>
      </c>
      <c r="AG120" s="590">
        <f>INT((E109+AE120*(AB120-1.669))*100)/100</f>
        <v>1.79</v>
      </c>
      <c r="AH120" s="593">
        <f ca="1" t="shared" si="17"/>
        <v>0</v>
      </c>
      <c r="AI120" s="590">
        <f t="shared" si="23"/>
        <v>1.75</v>
      </c>
      <c r="AJ120" s="590">
        <f ca="1" t="shared" si="24"/>
        <v>16</v>
      </c>
      <c r="AK120" s="590">
        <f ca="1" t="shared" si="25"/>
        <v>1</v>
      </c>
      <c r="AL120" s="590">
        <f t="shared" si="26"/>
        <v>78.5</v>
      </c>
      <c r="AM120" s="590">
        <f t="shared" si="27"/>
        <v>94.5</v>
      </c>
      <c r="AN120" s="590">
        <f ca="1" t="shared" si="28"/>
        <v>18</v>
      </c>
      <c r="AO120" s="590">
        <f ca="1" t="shared" si="29"/>
        <v>1</v>
      </c>
      <c r="AP120" s="590">
        <f t="shared" si="30"/>
        <v>77.9</v>
      </c>
      <c r="AQ120" s="590">
        <f t="shared" si="31"/>
        <v>95.9</v>
      </c>
    </row>
    <row r="121" spans="1:43" ht="12.75">
      <c r="A121" s="357">
        <v>4</v>
      </c>
      <c r="B121" s="376" t="str">
        <f>IF(E112=1,AB121,"       Genere")</f>
        <v>       Genere</v>
      </c>
      <c r="C121" s="377" t="str">
        <f>IF(E112=1,AM121,"    Gener")</f>
        <v>    Gener</v>
      </c>
      <c r="D121" s="377" t="str">
        <f>IF(E112=1,AI121,"    Gener")</f>
        <v>    Gener</v>
      </c>
      <c r="E121" s="377" t="str">
        <f>IF(E112=1,AQ121,"    Gener")</f>
        <v>    Gener</v>
      </c>
      <c r="X121" s="591">
        <v>1.6</v>
      </c>
      <c r="Y121" s="591">
        <v>1.63</v>
      </c>
      <c r="Z121" s="592">
        <f ca="1" t="shared" si="18"/>
        <v>0</v>
      </c>
      <c r="AA121" s="593">
        <f ca="1" t="shared" si="19"/>
        <v>0</v>
      </c>
      <c r="AB121" s="590">
        <f>IF(AA121=0,E108-Z121,E108+Z121)</f>
        <v>1.67</v>
      </c>
      <c r="AC121" s="593">
        <f ca="1" t="shared" si="16"/>
        <v>0</v>
      </c>
      <c r="AD121" s="592">
        <f ca="1" t="shared" si="20"/>
        <v>0</v>
      </c>
      <c r="AE121" s="590">
        <f t="shared" si="21"/>
        <v>0.86172</v>
      </c>
      <c r="AF121" s="592">
        <f ca="1" t="shared" si="22"/>
        <v>0.03</v>
      </c>
      <c r="AG121" s="590">
        <f>INT((E109+AE121*(AB121-1.669))*100)/100</f>
        <v>1.68</v>
      </c>
      <c r="AH121" s="593">
        <f ca="1" t="shared" si="17"/>
        <v>1</v>
      </c>
      <c r="AI121" s="590">
        <f t="shared" si="23"/>
        <v>1.69</v>
      </c>
      <c r="AJ121" s="590">
        <f ca="1" t="shared" si="24"/>
        <v>8</v>
      </c>
      <c r="AK121" s="590">
        <f ca="1" t="shared" si="25"/>
        <v>0</v>
      </c>
      <c r="AL121" s="590">
        <f t="shared" si="26"/>
        <v>71.6</v>
      </c>
      <c r="AM121" s="590">
        <f t="shared" si="27"/>
        <v>63.599999999999994</v>
      </c>
      <c r="AN121" s="590">
        <f ca="1" t="shared" si="28"/>
        <v>18</v>
      </c>
      <c r="AO121" s="590">
        <f ca="1" t="shared" si="29"/>
        <v>1</v>
      </c>
      <c r="AP121" s="590">
        <f t="shared" si="30"/>
        <v>74.7</v>
      </c>
      <c r="AQ121" s="590">
        <f t="shared" si="31"/>
        <v>92.7</v>
      </c>
    </row>
    <row r="122" spans="1:43" ht="12.75">
      <c r="A122" s="357">
        <v>5</v>
      </c>
      <c r="B122" s="376" t="str">
        <f>IF(E112=1,AB122,"       Genere")</f>
        <v>       Genere</v>
      </c>
      <c r="C122" s="377" t="str">
        <f>IF(E112=1,AM122,"    Gener")</f>
        <v>    Gener</v>
      </c>
      <c r="D122" s="377" t="str">
        <f>IF(E112=1,AI122,"    Gener")</f>
        <v>    Gener</v>
      </c>
      <c r="E122" s="377" t="str">
        <f>IF(E112=1,AQ122,"    Gener")</f>
        <v>    Gener</v>
      </c>
      <c r="X122" s="591">
        <v>1.7</v>
      </c>
      <c r="Y122" s="591">
        <v>1.73</v>
      </c>
      <c r="Z122" s="592">
        <f ca="1" t="shared" si="18"/>
        <v>0.21</v>
      </c>
      <c r="AA122" s="593">
        <f ca="1" t="shared" si="19"/>
        <v>1</v>
      </c>
      <c r="AB122" s="590">
        <f>IF(AA122=0,E108-Z122,E108+Z122)</f>
        <v>1.88</v>
      </c>
      <c r="AC122" s="593">
        <f ca="1" t="shared" si="16"/>
        <v>0</v>
      </c>
      <c r="AD122" s="592">
        <f ca="1" t="shared" si="20"/>
        <v>0.02</v>
      </c>
      <c r="AE122" s="590">
        <f t="shared" si="21"/>
        <v>0.93248</v>
      </c>
      <c r="AF122" s="592">
        <f ca="1" t="shared" si="22"/>
        <v>0.11</v>
      </c>
      <c r="AG122" s="590">
        <f>INT((E109+AE122*(AB122-1.669))*100)/100</f>
        <v>1.87</v>
      </c>
      <c r="AH122" s="593">
        <f ca="1" t="shared" si="17"/>
        <v>0</v>
      </c>
      <c r="AI122" s="590">
        <f t="shared" si="23"/>
        <v>1.81</v>
      </c>
      <c r="AJ122" s="590">
        <f ca="1" t="shared" si="24"/>
        <v>15</v>
      </c>
      <c r="AK122" s="590">
        <f ca="1" t="shared" si="25"/>
        <v>1</v>
      </c>
      <c r="AL122" s="590">
        <f t="shared" si="26"/>
        <v>82.8</v>
      </c>
      <c r="AM122" s="590">
        <f t="shared" si="27"/>
        <v>97.8</v>
      </c>
      <c r="AN122" s="590">
        <f ca="1" t="shared" si="28"/>
        <v>3</v>
      </c>
      <c r="AO122" s="590">
        <f ca="1" t="shared" si="29"/>
        <v>1</v>
      </c>
      <c r="AP122" s="590">
        <f t="shared" si="30"/>
        <v>81</v>
      </c>
      <c r="AQ122" s="590">
        <f t="shared" si="31"/>
        <v>84</v>
      </c>
    </row>
    <row r="123" spans="1:43" ht="12.75">
      <c r="A123" s="357">
        <v>6</v>
      </c>
      <c r="B123" s="376" t="str">
        <f>IF(E112=1,AB123,"       Genere")</f>
        <v>       Genere</v>
      </c>
      <c r="C123" s="377" t="str">
        <f>IF(E112=1,AM123,"    Gener")</f>
        <v>    Gener</v>
      </c>
      <c r="D123" s="377" t="str">
        <f>IF(E112=1,AI123,"    Gener")</f>
        <v>    Gener</v>
      </c>
      <c r="E123" s="377" t="str">
        <f>IF(E112=1,AQ123,"    Gener")</f>
        <v>    Gener</v>
      </c>
      <c r="X123" s="591">
        <v>1.55</v>
      </c>
      <c r="Y123" s="591">
        <v>1.65</v>
      </c>
      <c r="Z123" s="592">
        <f ca="1" t="shared" si="18"/>
        <v>0.03</v>
      </c>
      <c r="AA123" s="593">
        <f ca="1" t="shared" si="19"/>
        <v>0</v>
      </c>
      <c r="AB123" s="590">
        <f>IF(AA123=0,E108-Z123,E108+Z123)</f>
        <v>1.64</v>
      </c>
      <c r="AC123" s="593">
        <f ca="1" t="shared" si="16"/>
        <v>1</v>
      </c>
      <c r="AD123" s="592">
        <f ca="1" t="shared" si="20"/>
        <v>0.04</v>
      </c>
      <c r="AE123" s="590">
        <f t="shared" si="21"/>
        <v>0.91184</v>
      </c>
      <c r="AF123" s="592">
        <f ca="1" t="shared" si="22"/>
        <v>0.1</v>
      </c>
      <c r="AG123" s="590">
        <f>INT((E109+AE123*(AB123-1.669))*100)/100</f>
        <v>1.65</v>
      </c>
      <c r="AH123" s="593">
        <f ca="1" t="shared" si="17"/>
        <v>0</v>
      </c>
      <c r="AI123" s="590">
        <f t="shared" si="23"/>
        <v>1.69</v>
      </c>
      <c r="AJ123" s="590">
        <f ca="1" t="shared" si="24"/>
        <v>9</v>
      </c>
      <c r="AK123" s="590">
        <f ca="1" t="shared" si="25"/>
        <v>0</v>
      </c>
      <c r="AL123" s="590">
        <f t="shared" si="26"/>
        <v>70</v>
      </c>
      <c r="AM123" s="590">
        <f t="shared" si="27"/>
        <v>61</v>
      </c>
      <c r="AN123" s="590">
        <f ca="1" t="shared" si="28"/>
        <v>14</v>
      </c>
      <c r="AO123" s="590">
        <f ca="1" t="shared" si="29"/>
        <v>1</v>
      </c>
      <c r="AP123" s="590">
        <f t="shared" si="30"/>
        <v>74.7</v>
      </c>
      <c r="AQ123" s="590">
        <f t="shared" si="31"/>
        <v>88.7</v>
      </c>
    </row>
    <row r="124" spans="1:43" ht="12.75">
      <c r="A124" s="357">
        <v>7</v>
      </c>
      <c r="B124" s="376" t="str">
        <f>IF(E112=1,AB124,"       Genere")</f>
        <v>       Genere</v>
      </c>
      <c r="C124" s="377" t="str">
        <f>IF(E112=1,AM124,"    Gener")</f>
        <v>    Gener</v>
      </c>
      <c r="D124" s="377" t="str">
        <f>IF(E112=1,AI124,"    Gener")</f>
        <v>    Gener</v>
      </c>
      <c r="E124" s="377" t="str">
        <f>IF(E112=1,AQ124,"    Gener")</f>
        <v>    Gener</v>
      </c>
      <c r="X124" s="591">
        <v>1.75</v>
      </c>
      <c r="Y124" s="591">
        <v>1.7</v>
      </c>
      <c r="Z124" s="592">
        <f ca="1" t="shared" si="18"/>
        <v>0</v>
      </c>
      <c r="AA124" s="593">
        <f ca="1" t="shared" si="19"/>
        <v>1</v>
      </c>
      <c r="AB124" s="590">
        <f>IF(AA124=0,E108-Z124,E108+Z124)</f>
        <v>1.67</v>
      </c>
      <c r="AC124" s="593">
        <f ca="1" t="shared" si="16"/>
        <v>1</v>
      </c>
      <c r="AD124" s="592">
        <f ca="1" t="shared" si="20"/>
        <v>0.04</v>
      </c>
      <c r="AE124" s="590">
        <f t="shared" si="21"/>
        <v>0.92852</v>
      </c>
      <c r="AF124" s="592">
        <f ca="1" t="shared" si="22"/>
        <v>0.24</v>
      </c>
      <c r="AG124" s="590">
        <f>INT((E109+AE124*(AB124-1.669))*100)/100</f>
        <v>1.68</v>
      </c>
      <c r="AH124" s="593">
        <f ca="1" t="shared" si="17"/>
        <v>0</v>
      </c>
      <c r="AI124" s="590">
        <f t="shared" si="23"/>
        <v>1.56</v>
      </c>
      <c r="AJ124" s="590">
        <f ca="1" t="shared" si="24"/>
        <v>6</v>
      </c>
      <c r="AK124" s="590">
        <f ca="1" t="shared" si="25"/>
        <v>1</v>
      </c>
      <c r="AL124" s="590">
        <f t="shared" si="26"/>
        <v>71.6</v>
      </c>
      <c r="AM124" s="590">
        <f t="shared" si="27"/>
        <v>77.6</v>
      </c>
      <c r="AN124" s="590">
        <f ca="1" t="shared" si="28"/>
        <v>17</v>
      </c>
      <c r="AO124" s="590">
        <f ca="1" t="shared" si="29"/>
        <v>1</v>
      </c>
      <c r="AP124" s="590">
        <f t="shared" si="30"/>
        <v>67.8</v>
      </c>
      <c r="AQ124" s="590">
        <f t="shared" si="31"/>
        <v>84.8</v>
      </c>
    </row>
    <row r="125" spans="1:43" ht="12.75">
      <c r="A125" s="357">
        <v>8</v>
      </c>
      <c r="B125" s="376" t="str">
        <f>IF(E112=1,AB125,"       Genere")</f>
        <v>       Genere</v>
      </c>
      <c r="C125" s="377" t="str">
        <f>IF(E112=1,AM125,"    Gener")</f>
        <v>    Gener</v>
      </c>
      <c r="D125" s="377" t="str">
        <f>IF(E112=1,AI125,"    Gener")</f>
        <v>    Gener</v>
      </c>
      <c r="E125" s="377" t="str">
        <f>IF(E112=1,AQ125,"    Gener")</f>
        <v>    Gener</v>
      </c>
      <c r="X125" s="591">
        <v>1.65</v>
      </c>
      <c r="Y125" s="591">
        <v>1.63</v>
      </c>
      <c r="Z125" s="592">
        <f ca="1" t="shared" si="18"/>
        <v>0.12</v>
      </c>
      <c r="AA125" s="593">
        <f ca="1" t="shared" si="19"/>
        <v>0</v>
      </c>
      <c r="AB125" s="590">
        <f>IF(AA125=0,E108-Z125,E108+Z125)</f>
        <v>1.5499999999999998</v>
      </c>
      <c r="AC125" s="593">
        <f ca="1" t="shared" si="16"/>
        <v>1</v>
      </c>
      <c r="AD125" s="592">
        <f ca="1" t="shared" si="20"/>
        <v>0.01</v>
      </c>
      <c r="AE125" s="590">
        <f t="shared" si="21"/>
        <v>0.8152999999999999</v>
      </c>
      <c r="AF125" s="592">
        <f ca="1" t="shared" si="22"/>
        <v>0.04</v>
      </c>
      <c r="AG125" s="590">
        <f>INT((E109+AE125*(AB125-1.669))*100)/100</f>
        <v>1.58</v>
      </c>
      <c r="AH125" s="593">
        <f ca="1" t="shared" si="17"/>
        <v>1</v>
      </c>
      <c r="AI125" s="590">
        <f t="shared" si="23"/>
        <v>1.59</v>
      </c>
      <c r="AJ125" s="590">
        <f ca="1" t="shared" si="24"/>
        <v>1</v>
      </c>
      <c r="AK125" s="590">
        <f ca="1" t="shared" si="25"/>
        <v>1</v>
      </c>
      <c r="AL125" s="590">
        <f t="shared" si="26"/>
        <v>65.2</v>
      </c>
      <c r="AM125" s="590">
        <f t="shared" si="27"/>
        <v>66.2</v>
      </c>
      <c r="AN125" s="590">
        <f ca="1" t="shared" si="28"/>
        <v>11</v>
      </c>
      <c r="AO125" s="590">
        <f ca="1" t="shared" si="29"/>
        <v>0</v>
      </c>
      <c r="AP125" s="590">
        <f t="shared" si="30"/>
        <v>69.4</v>
      </c>
      <c r="AQ125" s="590">
        <f t="shared" si="31"/>
        <v>58.400000000000006</v>
      </c>
    </row>
    <row r="126" spans="1:43" ht="12.75">
      <c r="A126" s="357">
        <v>9</v>
      </c>
      <c r="B126" s="376" t="str">
        <f>IF(E112=1,AB126,"       Genere")</f>
        <v>       Genere</v>
      </c>
      <c r="C126" s="377" t="str">
        <f>IF(E112=1,AM126,"    Gener")</f>
        <v>    Gener</v>
      </c>
      <c r="D126" s="377" t="str">
        <f>IF(E112=1,AI126,"    Gener")</f>
        <v>    Gener</v>
      </c>
      <c r="E126" s="377" t="str">
        <f>IF(E112=1,AQ126,"    Gener")</f>
        <v>    Gener</v>
      </c>
      <c r="X126" s="591">
        <v>1.7</v>
      </c>
      <c r="Y126" s="591">
        <v>1.78</v>
      </c>
      <c r="Z126" s="592">
        <f ca="1" t="shared" si="18"/>
        <v>0.11</v>
      </c>
      <c r="AA126" s="593">
        <f ca="1" t="shared" si="19"/>
        <v>1</v>
      </c>
      <c r="AB126" s="590">
        <f>IF(AA126=0,E108-Z126,E108+Z126)</f>
        <v>1.78</v>
      </c>
      <c r="AC126" s="593">
        <f ca="1" t="shared" si="16"/>
        <v>0</v>
      </c>
      <c r="AD126" s="592">
        <f ca="1" t="shared" si="20"/>
        <v>0.04</v>
      </c>
      <c r="AE126" s="590">
        <f t="shared" si="21"/>
        <v>0.84728</v>
      </c>
      <c r="AF126" s="592">
        <f ca="1" t="shared" si="22"/>
        <v>0.09</v>
      </c>
      <c r="AG126" s="590">
        <f>INT((E109+AE126*(AB126-1.669))*100)/100</f>
        <v>1.77</v>
      </c>
      <c r="AH126" s="593">
        <f ca="1" t="shared" si="17"/>
        <v>1</v>
      </c>
      <c r="AI126" s="590">
        <f t="shared" si="23"/>
        <v>1.72</v>
      </c>
      <c r="AJ126" s="590">
        <f ca="1" t="shared" si="24"/>
        <v>19</v>
      </c>
      <c r="AK126" s="590">
        <f ca="1" t="shared" si="25"/>
        <v>0</v>
      </c>
      <c r="AL126" s="590">
        <f t="shared" si="26"/>
        <v>77.5</v>
      </c>
      <c r="AM126" s="590">
        <f t="shared" si="27"/>
        <v>58.5</v>
      </c>
      <c r="AN126" s="590">
        <f ca="1" t="shared" si="28"/>
        <v>9</v>
      </c>
      <c r="AO126" s="590">
        <f ca="1" t="shared" si="29"/>
        <v>0</v>
      </c>
      <c r="AP126" s="590">
        <f t="shared" si="30"/>
        <v>76.3</v>
      </c>
      <c r="AQ126" s="590">
        <f t="shared" si="31"/>
        <v>67.3</v>
      </c>
    </row>
    <row r="127" spans="1:43" ht="12.75">
      <c r="A127" s="357">
        <v>10</v>
      </c>
      <c r="B127" s="376" t="str">
        <f>IF(E112=1,AB127,"       Genere")</f>
        <v>       Genere</v>
      </c>
      <c r="C127" s="377" t="str">
        <f>IF(E112=1,AM127,"    Gener")</f>
        <v>    Gener</v>
      </c>
      <c r="D127" s="377" t="str">
        <f>IF(E112=1,AI127,"    Gener")</f>
        <v>    Gener</v>
      </c>
      <c r="E127" s="377" t="str">
        <f>IF(E112=1,AQ127,"    Gener")</f>
        <v>    Gener</v>
      </c>
      <c r="X127" s="591">
        <v>1.68</v>
      </c>
      <c r="Y127" s="591">
        <v>1.68</v>
      </c>
      <c r="Z127" s="592">
        <f ca="1" t="shared" si="18"/>
        <v>0</v>
      </c>
      <c r="AA127" s="593">
        <f ca="1" t="shared" si="19"/>
        <v>0</v>
      </c>
      <c r="AB127" s="590">
        <f>IF(AA127=0,E108-Z127,E108+Z127)</f>
        <v>1.67</v>
      </c>
      <c r="AC127" s="593">
        <f ca="1" t="shared" si="16"/>
        <v>1</v>
      </c>
      <c r="AD127" s="592">
        <f ca="1" t="shared" si="20"/>
        <v>0.03</v>
      </c>
      <c r="AE127" s="590">
        <f t="shared" si="21"/>
        <v>0.9118200000000001</v>
      </c>
      <c r="AF127" s="592">
        <f ca="1" t="shared" si="22"/>
        <v>0.07</v>
      </c>
      <c r="AG127" s="590">
        <f>INT((E109+AE127*(AB127-1.669))*100)/100</f>
        <v>1.68</v>
      </c>
      <c r="AH127" s="593">
        <f ca="1" t="shared" si="17"/>
        <v>0</v>
      </c>
      <c r="AI127" s="590">
        <f t="shared" si="23"/>
        <v>1.71</v>
      </c>
      <c r="AJ127" s="590">
        <f ca="1" t="shared" si="24"/>
        <v>11</v>
      </c>
      <c r="AK127" s="590">
        <f ca="1" t="shared" si="25"/>
        <v>1</v>
      </c>
      <c r="AL127" s="590">
        <f t="shared" si="26"/>
        <v>71.6</v>
      </c>
      <c r="AM127" s="590">
        <f t="shared" si="27"/>
        <v>82.6</v>
      </c>
      <c r="AN127" s="590">
        <f ca="1" t="shared" si="28"/>
        <v>18</v>
      </c>
      <c r="AO127" s="590">
        <f ca="1" t="shared" si="29"/>
        <v>1</v>
      </c>
      <c r="AP127" s="590">
        <f t="shared" si="30"/>
        <v>75.7</v>
      </c>
      <c r="AQ127" s="590">
        <f t="shared" si="31"/>
        <v>93.7</v>
      </c>
    </row>
    <row r="128" spans="1:43" ht="12.75">
      <c r="A128" s="357">
        <v>11</v>
      </c>
      <c r="B128" s="376" t="str">
        <f>IF(E112=1,AB128,"       Genere")</f>
        <v>       Genere</v>
      </c>
      <c r="C128" s="377" t="str">
        <f>IF(E112=1,AM128,"    Gener")</f>
        <v>    Gener</v>
      </c>
      <c r="D128" s="377" t="str">
        <f>IF(E112=1,AI128,"    Gener")</f>
        <v>    Gener</v>
      </c>
      <c r="E128" s="377" t="str">
        <f>IF(E112=1,AQ128,"    Gener")</f>
        <v>    Gener</v>
      </c>
      <c r="X128" s="591">
        <v>1.73</v>
      </c>
      <c r="Y128" s="591">
        <v>1.7</v>
      </c>
      <c r="Z128" s="592">
        <f ca="1" t="shared" si="18"/>
        <v>0.06</v>
      </c>
      <c r="AA128" s="593">
        <f ca="1" t="shared" si="19"/>
        <v>1</v>
      </c>
      <c r="AB128" s="590">
        <f>IF(AA128=0,E108-Z128,E108+Z128)</f>
        <v>1.73</v>
      </c>
      <c r="AC128" s="593">
        <f ca="1" t="shared" si="16"/>
        <v>0</v>
      </c>
      <c r="AD128" s="592">
        <f ca="1" t="shared" si="20"/>
        <v>0.03</v>
      </c>
      <c r="AE128" s="590">
        <f t="shared" si="21"/>
        <v>0.84078</v>
      </c>
      <c r="AF128" s="592">
        <f ca="1" t="shared" si="22"/>
        <v>0.14</v>
      </c>
      <c r="AG128" s="590">
        <f>INT((E109+AE128*(AB128-1.669))*100)/100</f>
        <v>1.73</v>
      </c>
      <c r="AH128" s="593">
        <f ca="1" t="shared" si="17"/>
        <v>0</v>
      </c>
      <c r="AI128" s="590">
        <f t="shared" si="23"/>
        <v>1.66</v>
      </c>
      <c r="AJ128" s="590">
        <f ca="1" t="shared" si="24"/>
        <v>8</v>
      </c>
      <c r="AK128" s="590">
        <f ca="1" t="shared" si="25"/>
        <v>0</v>
      </c>
      <c r="AL128" s="590">
        <f t="shared" si="26"/>
        <v>74.8</v>
      </c>
      <c r="AM128" s="590">
        <f t="shared" si="27"/>
        <v>66.8</v>
      </c>
      <c r="AN128" s="590">
        <f ca="1" t="shared" si="28"/>
        <v>1</v>
      </c>
      <c r="AO128" s="590">
        <f ca="1" t="shared" si="29"/>
        <v>1</v>
      </c>
      <c r="AP128" s="590">
        <f t="shared" si="30"/>
        <v>73.1</v>
      </c>
      <c r="AQ128" s="590">
        <f t="shared" si="31"/>
        <v>74.1</v>
      </c>
    </row>
    <row r="129" spans="1:43" ht="12.75">
      <c r="A129" s="357">
        <v>12</v>
      </c>
      <c r="B129" s="376" t="str">
        <f>IF(E112=1,AB129,"       Genere")</f>
        <v>       Genere</v>
      </c>
      <c r="C129" s="377" t="str">
        <f>IF(E112=1,AM129,"    Gener")</f>
        <v>    Gener</v>
      </c>
      <c r="D129" s="377" t="str">
        <f>IF(E112=1,AI129,"    Gener")</f>
        <v>    Gener</v>
      </c>
      <c r="E129" s="377" t="str">
        <f>IF(E112=1,AQ129,"    Gener")</f>
        <v>    Gener</v>
      </c>
      <c r="X129" s="591">
        <v>1.78</v>
      </c>
      <c r="Y129" s="591">
        <v>1.75</v>
      </c>
      <c r="Z129" s="592">
        <f ca="1" t="shared" si="18"/>
        <v>0.03</v>
      </c>
      <c r="AA129" s="593">
        <f ca="1" t="shared" si="19"/>
        <v>1</v>
      </c>
      <c r="AB129" s="590">
        <f>IF(AA129=0,E108-Z129,E108+Z129)</f>
        <v>1.7</v>
      </c>
      <c r="AC129" s="593">
        <f ca="1" t="shared" si="16"/>
        <v>1</v>
      </c>
      <c r="AD129" s="592">
        <f ca="1" t="shared" si="20"/>
        <v>0.02</v>
      </c>
      <c r="AE129" s="590">
        <f t="shared" si="21"/>
        <v>0.9112</v>
      </c>
      <c r="AF129" s="592">
        <f ca="1" t="shared" si="22"/>
        <v>0.19</v>
      </c>
      <c r="AG129" s="590">
        <f>INT((E109+AE129*(AB129-1.669))*100)/100</f>
        <v>1.7</v>
      </c>
      <c r="AH129" s="593">
        <f ca="1" t="shared" si="17"/>
        <v>0</v>
      </c>
      <c r="AI129" s="590">
        <f t="shared" si="23"/>
        <v>1.6</v>
      </c>
      <c r="AJ129" s="590">
        <f ca="1" t="shared" si="24"/>
        <v>18</v>
      </c>
      <c r="AK129" s="590">
        <f ca="1" t="shared" si="25"/>
        <v>1</v>
      </c>
      <c r="AL129" s="590">
        <f t="shared" si="26"/>
        <v>73.2</v>
      </c>
      <c r="AM129" s="590">
        <f t="shared" si="27"/>
        <v>91.2</v>
      </c>
      <c r="AN129" s="590">
        <f ca="1" t="shared" si="28"/>
        <v>5</v>
      </c>
      <c r="AO129" s="590">
        <f ca="1" t="shared" si="29"/>
        <v>0</v>
      </c>
      <c r="AP129" s="590">
        <f t="shared" si="30"/>
        <v>69.9</v>
      </c>
      <c r="AQ129" s="590">
        <f t="shared" si="31"/>
        <v>64.9</v>
      </c>
    </row>
    <row r="130" spans="1:43" ht="12.75">
      <c r="A130" s="357">
        <v>13</v>
      </c>
      <c r="B130" s="376" t="str">
        <f>IF(E112=1,AB130,"       Genere")</f>
        <v>       Genere</v>
      </c>
      <c r="C130" s="377" t="str">
        <f>IF(E112=1,AM130,"    Gener")</f>
        <v>    Gener</v>
      </c>
      <c r="D130" s="377" t="str">
        <f>IF(E112=1,AI130,"    Gener")</f>
        <v>    Gener</v>
      </c>
      <c r="E130" s="377" t="str">
        <f>IF(E112=1,AQ130,"    Gener")</f>
        <v>    Gener</v>
      </c>
      <c r="Z130" s="592">
        <f ca="1" t="shared" si="18"/>
        <v>0.05</v>
      </c>
      <c r="AA130" s="593">
        <f ca="1" t="shared" si="19"/>
        <v>0</v>
      </c>
      <c r="AB130" s="590">
        <f>IF(AA130=0,E108-Z130,E108+Z130)</f>
        <v>1.6199999999999999</v>
      </c>
      <c r="AC130" s="593">
        <f ca="1" t="shared" si="16"/>
        <v>0</v>
      </c>
      <c r="AD130" s="592">
        <f ca="1" t="shared" si="20"/>
        <v>0.02</v>
      </c>
      <c r="AE130" s="590">
        <f t="shared" si="21"/>
        <v>0.8035199999999999</v>
      </c>
      <c r="AF130" s="592">
        <f ca="1" t="shared" si="22"/>
        <v>0.18</v>
      </c>
      <c r="AG130" s="590">
        <f>INT((E109+AE130*(AB130-1.669))*100)/100</f>
        <v>1.64</v>
      </c>
      <c r="AH130" s="593">
        <f ca="1" t="shared" si="17"/>
        <v>0</v>
      </c>
      <c r="AI130" s="590">
        <f t="shared" si="23"/>
        <v>1.72</v>
      </c>
      <c r="AJ130" s="590">
        <f ca="1" t="shared" si="24"/>
        <v>4</v>
      </c>
      <c r="AK130" s="590">
        <f ca="1" t="shared" si="25"/>
        <v>1</v>
      </c>
      <c r="AL130" s="590">
        <f t="shared" si="26"/>
        <v>69</v>
      </c>
      <c r="AM130" s="590">
        <f t="shared" si="27"/>
        <v>73</v>
      </c>
      <c r="AN130" s="590">
        <f ca="1" t="shared" si="28"/>
        <v>19</v>
      </c>
      <c r="AO130" s="590">
        <f ca="1" t="shared" si="29"/>
        <v>1</v>
      </c>
      <c r="AP130" s="590">
        <f t="shared" si="30"/>
        <v>76.3</v>
      </c>
      <c r="AQ130" s="590">
        <f t="shared" si="31"/>
        <v>95.3</v>
      </c>
    </row>
    <row r="131" spans="1:43" ht="12.75">
      <c r="A131" s="357">
        <v>14</v>
      </c>
      <c r="B131" s="376" t="str">
        <f>IF(E112=1,AB131,"       Genere")</f>
        <v>       Genere</v>
      </c>
      <c r="C131" s="377" t="str">
        <f>IF(E112=1,AM131,"    Gener")</f>
        <v>    Gener</v>
      </c>
      <c r="D131" s="377" t="str">
        <f>IF(E112=1,AI131,"    Gener")</f>
        <v>    Gener</v>
      </c>
      <c r="E131" s="377" t="str">
        <f>IF(E112=1,AQ131,"    Gener")</f>
        <v>    Gener</v>
      </c>
      <c r="Z131" s="592">
        <f ca="1" t="shared" si="18"/>
        <v>0.12</v>
      </c>
      <c r="AA131" s="593">
        <f ca="1" t="shared" si="19"/>
        <v>0</v>
      </c>
      <c r="AB131" s="590">
        <f>IF(AA131=0,E108-Z131,E108+Z131)</f>
        <v>1.5499999999999998</v>
      </c>
      <c r="AC131" s="593">
        <f ca="1" t="shared" si="16"/>
        <v>0</v>
      </c>
      <c r="AD131" s="592">
        <f ca="1" t="shared" si="20"/>
        <v>0.02</v>
      </c>
      <c r="AE131" s="590">
        <f t="shared" si="21"/>
        <v>0.7687999999999999</v>
      </c>
      <c r="AF131" s="592">
        <f ca="1" t="shared" si="22"/>
        <v>0.17</v>
      </c>
      <c r="AG131" s="590">
        <f>INT((E109+AE131*(AB131-1.669))*100)/100</f>
        <v>1.58</v>
      </c>
      <c r="AH131" s="593">
        <f ca="1" t="shared" si="17"/>
        <v>0</v>
      </c>
      <c r="AI131" s="590">
        <f t="shared" si="23"/>
        <v>1.66</v>
      </c>
      <c r="AJ131" s="590">
        <f ca="1" t="shared" si="24"/>
        <v>2</v>
      </c>
      <c r="AK131" s="590">
        <f ca="1" t="shared" si="25"/>
        <v>0</v>
      </c>
      <c r="AL131" s="590">
        <f t="shared" si="26"/>
        <v>65.2</v>
      </c>
      <c r="AM131" s="590">
        <f t="shared" si="27"/>
        <v>63.2</v>
      </c>
      <c r="AN131" s="590">
        <f ca="1" t="shared" si="28"/>
        <v>17</v>
      </c>
      <c r="AO131" s="590">
        <f ca="1" t="shared" si="29"/>
        <v>0</v>
      </c>
      <c r="AP131" s="590">
        <f t="shared" si="30"/>
        <v>73.1</v>
      </c>
      <c r="AQ131" s="590">
        <f t="shared" si="31"/>
        <v>56.099999999999994</v>
      </c>
    </row>
    <row r="132" spans="1:43" ht="12.75">
      <c r="A132" s="357">
        <v>15</v>
      </c>
      <c r="B132" s="376" t="str">
        <f>IF(E112=1,AB132,"       Genere")</f>
        <v>       Genere</v>
      </c>
      <c r="C132" s="377" t="str">
        <f>IF(E112=1,AM132,"    Gener")</f>
        <v>    Gener</v>
      </c>
      <c r="D132" s="377" t="str">
        <f>IF(E112=1,AI132,"    Gener")</f>
        <v>    Gener</v>
      </c>
      <c r="E132" s="377" t="str">
        <f>IF(E112=1,AQ132,"    Gener")</f>
        <v>    Gener</v>
      </c>
      <c r="Z132" s="592">
        <f ca="1" t="shared" si="18"/>
        <v>0.12</v>
      </c>
      <c r="AA132" s="593">
        <f ca="1" t="shared" si="19"/>
        <v>1</v>
      </c>
      <c r="AB132" s="590">
        <f>IF(AA132=0,E108-Z132,E108+Z132)</f>
        <v>1.79</v>
      </c>
      <c r="AC132" s="593">
        <f ca="1" t="shared" si="16"/>
        <v>1</v>
      </c>
      <c r="AD132" s="592">
        <f ca="1" t="shared" si="20"/>
        <v>0.03</v>
      </c>
      <c r="AE132" s="590">
        <f t="shared" si="21"/>
        <v>0.9773400000000001</v>
      </c>
      <c r="AF132" s="592">
        <f ca="1" t="shared" si="22"/>
        <v>0.13</v>
      </c>
      <c r="AG132" s="590">
        <f>INT((E109+AE132*(AB132-1.669))*100)/100</f>
        <v>1.79</v>
      </c>
      <c r="AH132" s="593">
        <f ca="1" t="shared" si="17"/>
        <v>1</v>
      </c>
      <c r="AI132" s="590">
        <f t="shared" si="23"/>
        <v>1.72</v>
      </c>
      <c r="AJ132" s="590">
        <f ca="1" t="shared" si="24"/>
        <v>0</v>
      </c>
      <c r="AK132" s="590">
        <f ca="1" t="shared" si="25"/>
        <v>1</v>
      </c>
      <c r="AL132" s="590">
        <f t="shared" si="26"/>
        <v>78</v>
      </c>
      <c r="AM132" s="590">
        <f t="shared" si="27"/>
        <v>78</v>
      </c>
      <c r="AN132" s="590">
        <f ca="1" t="shared" si="28"/>
        <v>0</v>
      </c>
      <c r="AO132" s="590">
        <f ca="1" t="shared" si="29"/>
        <v>0</v>
      </c>
      <c r="AP132" s="590">
        <f t="shared" si="30"/>
        <v>76.3</v>
      </c>
      <c r="AQ132" s="590">
        <f t="shared" si="31"/>
        <v>76.3</v>
      </c>
    </row>
    <row r="133" spans="1:43" ht="12.75">
      <c r="A133" s="357">
        <v>16</v>
      </c>
      <c r="B133" s="376" t="str">
        <f>IF(E112=1,AB133,"       Genere")</f>
        <v>       Genere</v>
      </c>
      <c r="C133" s="377" t="str">
        <f>IF(E112=1,AM133,"    Gener")</f>
        <v>    Gener</v>
      </c>
      <c r="D133" s="377" t="str">
        <f>IF(E112=1,AI133,"    Gener")</f>
        <v>    Gener</v>
      </c>
      <c r="E133" s="377" t="str">
        <f>IF(E112=1,AQ133,"    Gener")</f>
        <v>    Gener</v>
      </c>
      <c r="Z133" s="592">
        <f ca="1" t="shared" si="18"/>
        <v>0.07</v>
      </c>
      <c r="AA133" s="593">
        <f ca="1" t="shared" si="19"/>
        <v>1</v>
      </c>
      <c r="AB133" s="590">
        <f>IF(AA133=0,E108-Z133,E108+Z133)</f>
        <v>1.74</v>
      </c>
      <c r="AC133" s="593">
        <f ca="1" t="shared" si="16"/>
        <v>0</v>
      </c>
      <c r="AD133" s="592">
        <f ca="1" t="shared" si="20"/>
        <v>0.01</v>
      </c>
      <c r="AE133" s="590">
        <f t="shared" si="21"/>
        <v>0.88044</v>
      </c>
      <c r="AF133" s="592">
        <f ca="1" t="shared" si="22"/>
        <v>0.1</v>
      </c>
      <c r="AG133" s="590">
        <f>INT((E109+AE133*(AB133-1.669))*100)/100</f>
        <v>1.74</v>
      </c>
      <c r="AH133" s="593">
        <f ca="1" t="shared" si="17"/>
        <v>0</v>
      </c>
      <c r="AI133" s="590">
        <f t="shared" si="23"/>
        <v>1.69</v>
      </c>
      <c r="AJ133" s="590">
        <f ca="1" t="shared" si="24"/>
        <v>12</v>
      </c>
      <c r="AK133" s="590">
        <f ca="1" t="shared" si="25"/>
        <v>1</v>
      </c>
      <c r="AL133" s="590">
        <f t="shared" si="26"/>
        <v>75.3</v>
      </c>
      <c r="AM133" s="590">
        <f t="shared" si="27"/>
        <v>87.3</v>
      </c>
      <c r="AN133" s="590">
        <f ca="1" t="shared" si="28"/>
        <v>18</v>
      </c>
      <c r="AO133" s="590">
        <f ca="1" t="shared" si="29"/>
        <v>0</v>
      </c>
      <c r="AP133" s="590">
        <f t="shared" si="30"/>
        <v>74.7</v>
      </c>
      <c r="AQ133" s="590">
        <f t="shared" si="31"/>
        <v>56.7</v>
      </c>
    </row>
    <row r="134" spans="1:43" ht="12.75">
      <c r="A134" s="357">
        <v>17</v>
      </c>
      <c r="B134" s="376" t="str">
        <f>IF(E112=1,AB134,"       Genere")</f>
        <v>       Genere</v>
      </c>
      <c r="C134" s="377" t="str">
        <f>IF(E112=1,AM134,"    Gener")</f>
        <v>    Gener</v>
      </c>
      <c r="D134" s="377" t="str">
        <f>IF(E112=1,AI134,"    Gener")</f>
        <v>    Gener</v>
      </c>
      <c r="E134" s="377" t="str">
        <f>IF(E112=1,AQ134,"    Gener")</f>
        <v>    Gener</v>
      </c>
      <c r="Z134" s="592">
        <f ca="1" t="shared" si="18"/>
        <v>0.11</v>
      </c>
      <c r="AA134" s="593">
        <f ca="1" t="shared" si="19"/>
        <v>1</v>
      </c>
      <c r="AB134" s="590">
        <f>IF(AA134=0,E108-Z134,E108+Z134)</f>
        <v>1.78</v>
      </c>
      <c r="AC134" s="593">
        <f ca="1" t="shared" si="16"/>
        <v>1</v>
      </c>
      <c r="AD134" s="592">
        <f ca="1" t="shared" si="20"/>
        <v>0</v>
      </c>
      <c r="AE134" s="590">
        <f t="shared" si="21"/>
        <v>0.9184800000000001</v>
      </c>
      <c r="AF134" s="592">
        <f ca="1" t="shared" si="22"/>
        <v>0.13</v>
      </c>
      <c r="AG134" s="590">
        <f>INT((E109+AE134*(AB134-1.669))*100)/100</f>
        <v>1.78</v>
      </c>
      <c r="AH134" s="593">
        <f ca="1" t="shared" si="17"/>
        <v>0</v>
      </c>
      <c r="AI134" s="590">
        <f t="shared" si="23"/>
        <v>1.71</v>
      </c>
      <c r="AJ134" s="590">
        <f ca="1" t="shared" si="24"/>
        <v>0</v>
      </c>
      <c r="AK134" s="590">
        <f ca="1" t="shared" si="25"/>
        <v>1</v>
      </c>
      <c r="AL134" s="590">
        <f t="shared" si="26"/>
        <v>77.5</v>
      </c>
      <c r="AM134" s="590">
        <f t="shared" si="27"/>
        <v>77.5</v>
      </c>
      <c r="AN134" s="590">
        <f ca="1" t="shared" si="28"/>
        <v>19</v>
      </c>
      <c r="AO134" s="590">
        <f ca="1" t="shared" si="29"/>
        <v>1</v>
      </c>
      <c r="AP134" s="590">
        <f t="shared" si="30"/>
        <v>75.7</v>
      </c>
      <c r="AQ134" s="590">
        <f t="shared" si="31"/>
        <v>94.7</v>
      </c>
    </row>
    <row r="135" spans="1:43" ht="12.75">
      <c r="A135" s="357">
        <v>18</v>
      </c>
      <c r="B135" s="376" t="str">
        <f>IF(E112=1,AB135,"       Genere")</f>
        <v>       Genere</v>
      </c>
      <c r="C135" s="377" t="str">
        <f>IF(E112=1,AM135,"    Gener")</f>
        <v>    Gener</v>
      </c>
      <c r="D135" s="377" t="str">
        <f>IF(E112=1,AI135,"    Gener")</f>
        <v>    Gener</v>
      </c>
      <c r="E135" s="377" t="str">
        <f>IF(E112=1,AQ135,"    Gener")</f>
        <v>    Gener</v>
      </c>
      <c r="Z135" s="592">
        <f ca="1" t="shared" si="18"/>
        <v>0.12</v>
      </c>
      <c r="AA135" s="593">
        <f ca="1" t="shared" si="19"/>
        <v>1</v>
      </c>
      <c r="AB135" s="590">
        <f>IF(AA135=0,E108-Z135,E108+Z135)</f>
        <v>1.79</v>
      </c>
      <c r="AC135" s="593">
        <f ca="1" t="shared" si="16"/>
        <v>1</v>
      </c>
      <c r="AD135" s="592">
        <f ca="1" t="shared" si="20"/>
        <v>0</v>
      </c>
      <c r="AE135" s="590">
        <f t="shared" si="21"/>
        <v>0.92364</v>
      </c>
      <c r="AF135" s="592">
        <f ca="1" t="shared" si="22"/>
        <v>0.03</v>
      </c>
      <c r="AG135" s="590">
        <f>INT((E109+AE135*(AB135-1.669))*100)/100</f>
        <v>1.79</v>
      </c>
      <c r="AH135" s="593">
        <f ca="1" t="shared" si="17"/>
        <v>0</v>
      </c>
      <c r="AI135" s="590">
        <f t="shared" si="23"/>
        <v>1.77</v>
      </c>
      <c r="AJ135" s="590">
        <f ca="1" t="shared" si="24"/>
        <v>4</v>
      </c>
      <c r="AK135" s="590">
        <f ca="1" t="shared" si="25"/>
        <v>1</v>
      </c>
      <c r="AL135" s="590">
        <f t="shared" si="26"/>
        <v>78</v>
      </c>
      <c r="AM135" s="590">
        <f t="shared" si="27"/>
        <v>82</v>
      </c>
      <c r="AN135" s="590">
        <f ca="1" t="shared" si="28"/>
        <v>20</v>
      </c>
      <c r="AO135" s="590">
        <f ca="1" t="shared" si="29"/>
        <v>1</v>
      </c>
      <c r="AP135" s="590">
        <f t="shared" si="30"/>
        <v>78.9</v>
      </c>
      <c r="AQ135" s="590">
        <f t="shared" si="31"/>
        <v>98.9</v>
      </c>
    </row>
    <row r="136" spans="1:43" ht="12.75">
      <c r="A136" s="357">
        <v>19</v>
      </c>
      <c r="B136" s="376" t="str">
        <f>IF(E112=1,AB136,"       Genere")</f>
        <v>       Genere</v>
      </c>
      <c r="C136" s="377" t="str">
        <f>IF(E112=1,AM136,"    Gener")</f>
        <v>    Gener</v>
      </c>
      <c r="D136" s="377" t="str">
        <f>IF(E112=1,AI136,"    Gener")</f>
        <v>    Gener</v>
      </c>
      <c r="E136" s="377" t="str">
        <f>IF(E112=1,AQ136,"    Gener")</f>
        <v>    Gener</v>
      </c>
      <c r="Z136" s="592">
        <f ca="1" t="shared" si="18"/>
        <v>0.09</v>
      </c>
      <c r="AA136" s="593">
        <f ca="1" t="shared" si="19"/>
        <v>1</v>
      </c>
      <c r="AB136" s="590">
        <f>IF(AA136=0,E108-Z136,E108+Z136)</f>
        <v>1.76</v>
      </c>
      <c r="AC136" s="593">
        <f ca="1" t="shared" si="16"/>
        <v>1</v>
      </c>
      <c r="AD136" s="592">
        <f ca="1" t="shared" si="20"/>
        <v>0.01</v>
      </c>
      <c r="AE136" s="590">
        <f t="shared" si="21"/>
        <v>0.92576</v>
      </c>
      <c r="AF136" s="592">
        <f ca="1" t="shared" si="22"/>
        <v>0.22</v>
      </c>
      <c r="AG136" s="590">
        <f>INT((E109+AE136*(AB136-1.669))*100)/100</f>
        <v>1.76</v>
      </c>
      <c r="AH136" s="593">
        <f ca="1" t="shared" si="17"/>
        <v>0</v>
      </c>
      <c r="AI136" s="590">
        <f t="shared" si="23"/>
        <v>1.65</v>
      </c>
      <c r="AJ136" s="590">
        <f ca="1" t="shared" si="24"/>
        <v>4</v>
      </c>
      <c r="AK136" s="590">
        <f ca="1" t="shared" si="25"/>
        <v>0</v>
      </c>
      <c r="AL136" s="590">
        <f t="shared" si="26"/>
        <v>76.4</v>
      </c>
      <c r="AM136" s="590">
        <f t="shared" si="27"/>
        <v>72.4</v>
      </c>
      <c r="AN136" s="590">
        <f ca="1" t="shared" si="28"/>
        <v>15</v>
      </c>
      <c r="AO136" s="590">
        <f ca="1" t="shared" si="29"/>
        <v>1</v>
      </c>
      <c r="AP136" s="590">
        <f t="shared" si="30"/>
        <v>72.6</v>
      </c>
      <c r="AQ136" s="590">
        <f t="shared" si="31"/>
        <v>87.6</v>
      </c>
    </row>
    <row r="137" spans="1:43" ht="12.75">
      <c r="A137" s="357">
        <v>20</v>
      </c>
      <c r="B137" s="376" t="str">
        <f>IF(E112=1,AB137,"       Genere")</f>
        <v>       Genere</v>
      </c>
      <c r="C137" s="377" t="str">
        <f>IF(E112=1,AM137,"    Gener")</f>
        <v>    Gener</v>
      </c>
      <c r="D137" s="377" t="str">
        <f>IF(E112=1,AI137,"    Gener")</f>
        <v>    Gener</v>
      </c>
      <c r="E137" s="377" t="str">
        <f>IF(E112=1,AQ137,"    Gener")</f>
        <v>    Gener</v>
      </c>
      <c r="Z137" s="592">
        <f ca="1" t="shared" si="18"/>
        <v>0.18</v>
      </c>
      <c r="AA137" s="593">
        <f ca="1" t="shared" si="19"/>
        <v>0</v>
      </c>
      <c r="AB137" s="590">
        <f>IF(AA137=0,E108-Z137,E108+Z137)</f>
        <v>1.49</v>
      </c>
      <c r="AC137" s="593">
        <f ca="1" t="shared" si="16"/>
        <v>0</v>
      </c>
      <c r="AD137" s="592">
        <f ca="1" t="shared" si="20"/>
        <v>0.03</v>
      </c>
      <c r="AE137" s="590">
        <f t="shared" si="21"/>
        <v>0.72414</v>
      </c>
      <c r="AF137" s="592">
        <f ca="1" t="shared" si="22"/>
        <v>0</v>
      </c>
      <c r="AG137" s="590">
        <f>INT((E109+AE137*(AB137-1.669))*100)/100</f>
        <v>1.55</v>
      </c>
      <c r="AH137" s="593">
        <f ca="1" t="shared" si="17"/>
        <v>1</v>
      </c>
      <c r="AI137" s="590">
        <f t="shared" si="23"/>
        <v>1.55</v>
      </c>
      <c r="AJ137" s="590">
        <f ca="1" t="shared" si="24"/>
        <v>18</v>
      </c>
      <c r="AK137" s="590">
        <f ca="1" t="shared" si="25"/>
        <v>0</v>
      </c>
      <c r="AL137" s="590">
        <f t="shared" si="26"/>
        <v>62.1</v>
      </c>
      <c r="AM137" s="590">
        <f t="shared" si="27"/>
        <v>44.1</v>
      </c>
      <c r="AN137" s="590">
        <f ca="1" t="shared" si="28"/>
        <v>4</v>
      </c>
      <c r="AO137" s="590">
        <f ca="1" t="shared" si="29"/>
        <v>1</v>
      </c>
      <c r="AP137" s="590">
        <f t="shared" si="30"/>
        <v>67.2</v>
      </c>
      <c r="AQ137" s="590">
        <f t="shared" si="31"/>
        <v>71.2</v>
      </c>
    </row>
    <row r="138" spans="1:43" ht="12.75">
      <c r="A138" s="357">
        <v>21</v>
      </c>
      <c r="B138" s="376" t="str">
        <f>IF(E112=1,AB138,"       Genere")</f>
        <v>       Genere</v>
      </c>
      <c r="C138" s="377" t="str">
        <f>IF(E112=1,AM138,"    Gener")</f>
        <v>    Gener</v>
      </c>
      <c r="D138" s="377" t="str">
        <f>IF(E112=1,AI138,"    Gener")</f>
        <v>    Gener</v>
      </c>
      <c r="E138" s="377" t="str">
        <f>IF(E112=1,AQ138,"    Gener")</f>
        <v>    Gener</v>
      </c>
      <c r="Z138" s="592">
        <f ca="1" t="shared" si="18"/>
        <v>0.16</v>
      </c>
      <c r="AA138" s="593">
        <f ca="1" t="shared" si="19"/>
        <v>0</v>
      </c>
      <c r="AB138" s="590">
        <f>IF(AA138=0,E108-Z138,E108+Z138)</f>
        <v>1.51</v>
      </c>
      <c r="AC138" s="593">
        <f ca="1" t="shared" si="16"/>
        <v>1</v>
      </c>
      <c r="AD138" s="592">
        <f ca="1" t="shared" si="20"/>
        <v>0.01</v>
      </c>
      <c r="AE138" s="590">
        <f t="shared" si="21"/>
        <v>0.7942600000000001</v>
      </c>
      <c r="AF138" s="592">
        <f ca="1" t="shared" si="22"/>
        <v>0.15</v>
      </c>
      <c r="AG138" s="590">
        <f>INT((E109+AE138*(AB138-1.669))*100)/100</f>
        <v>1.55</v>
      </c>
      <c r="AH138" s="593">
        <f ca="1" t="shared" si="17"/>
        <v>1</v>
      </c>
      <c r="AI138" s="590">
        <f t="shared" si="23"/>
        <v>1.62</v>
      </c>
      <c r="AJ138" s="590">
        <f ca="1" t="shared" si="24"/>
        <v>4</v>
      </c>
      <c r="AK138" s="590">
        <f ca="1" t="shared" si="25"/>
        <v>0</v>
      </c>
      <c r="AL138" s="590">
        <f t="shared" si="26"/>
        <v>63.1</v>
      </c>
      <c r="AM138" s="590">
        <f t="shared" si="27"/>
        <v>59.1</v>
      </c>
      <c r="AN138" s="590">
        <f ca="1" t="shared" si="28"/>
        <v>7</v>
      </c>
      <c r="AO138" s="590">
        <f ca="1" t="shared" si="29"/>
        <v>1</v>
      </c>
      <c r="AP138" s="590">
        <f t="shared" si="30"/>
        <v>71</v>
      </c>
      <c r="AQ138" s="590">
        <f t="shared" si="31"/>
        <v>78</v>
      </c>
    </row>
    <row r="139" spans="1:43" ht="12.75">
      <c r="A139" s="357">
        <v>22</v>
      </c>
      <c r="B139" s="376" t="str">
        <f>IF(E112=1,AB139,"       Genere")</f>
        <v>       Genere</v>
      </c>
      <c r="C139" s="377" t="str">
        <f>IF(E112=1,AM139,"    Gener")</f>
        <v>    Gener</v>
      </c>
      <c r="D139" s="377" t="str">
        <f>IF(E112=1,AI139,"    Gener")</f>
        <v>    Gener</v>
      </c>
      <c r="E139" s="377" t="str">
        <f>IF(E112=1,AQ139,"    Gener")</f>
        <v>    Gener</v>
      </c>
      <c r="Z139" s="592">
        <f ca="1" t="shared" si="18"/>
        <v>0.05</v>
      </c>
      <c r="AA139" s="593">
        <f ca="1" t="shared" si="19"/>
        <v>1</v>
      </c>
      <c r="AB139" s="590">
        <f>IF(AA139=0,E108-Z139,E108+Z139)</f>
        <v>1.72</v>
      </c>
      <c r="AC139" s="593">
        <f ca="1" t="shared" si="16"/>
        <v>0</v>
      </c>
      <c r="AD139" s="592">
        <f ca="1" t="shared" si="20"/>
        <v>0.03</v>
      </c>
      <c r="AE139" s="590">
        <f t="shared" si="21"/>
        <v>0.83592</v>
      </c>
      <c r="AF139" s="592">
        <f ca="1" t="shared" si="22"/>
        <v>0.14</v>
      </c>
      <c r="AG139" s="590">
        <f>INT((E109+AE139*(AB139-1.669))*100)/100</f>
        <v>1.72</v>
      </c>
      <c r="AH139" s="593">
        <f ca="1" t="shared" si="17"/>
        <v>0</v>
      </c>
      <c r="AI139" s="590">
        <f t="shared" si="23"/>
        <v>1.65</v>
      </c>
      <c r="AJ139" s="590">
        <f ca="1" t="shared" si="24"/>
        <v>14</v>
      </c>
      <c r="AK139" s="590">
        <f ca="1" t="shared" si="25"/>
        <v>0</v>
      </c>
      <c r="AL139" s="590">
        <f t="shared" si="26"/>
        <v>74.3</v>
      </c>
      <c r="AM139" s="590">
        <f t="shared" si="27"/>
        <v>60.3</v>
      </c>
      <c r="AN139" s="590">
        <f ca="1" t="shared" si="28"/>
        <v>12</v>
      </c>
      <c r="AO139" s="590">
        <f ca="1" t="shared" si="29"/>
        <v>0</v>
      </c>
      <c r="AP139" s="590">
        <f t="shared" si="30"/>
        <v>72.6</v>
      </c>
      <c r="AQ139" s="590">
        <f t="shared" si="31"/>
        <v>60.599999999999994</v>
      </c>
    </row>
    <row r="140" spans="1:43" ht="12.75">
      <c r="A140" s="357">
        <v>23</v>
      </c>
      <c r="B140" s="376" t="str">
        <f>IF(E112=1,AB140,"       Genere")</f>
        <v>       Genere</v>
      </c>
      <c r="C140" s="377" t="str">
        <f>IF(E112=1,AM140,"    Gener")</f>
        <v>    Gener</v>
      </c>
      <c r="D140" s="377" t="str">
        <f>IF(E112=1,AI140,"    Gener")</f>
        <v>    Gener</v>
      </c>
      <c r="E140" s="377" t="str">
        <f>IF(E112=1,AQ140,"    Gener")</f>
        <v>    Gener</v>
      </c>
      <c r="Z140" s="592">
        <f ca="1" t="shared" si="18"/>
        <v>0.06</v>
      </c>
      <c r="AA140" s="593">
        <f ca="1" t="shared" si="19"/>
        <v>1</v>
      </c>
      <c r="AB140" s="590">
        <f>IF(AA140=0,E108-Z140,E108+Z140)</f>
        <v>1.73</v>
      </c>
      <c r="AC140" s="593">
        <f ca="1" t="shared" si="16"/>
        <v>0</v>
      </c>
      <c r="AD140" s="592">
        <f ca="1" t="shared" si="20"/>
        <v>0.02</v>
      </c>
      <c r="AE140" s="590">
        <f t="shared" si="21"/>
        <v>0.85808</v>
      </c>
      <c r="AF140" s="592">
        <f ca="1" t="shared" si="22"/>
        <v>0.1</v>
      </c>
      <c r="AG140" s="590">
        <f>INT((E109+AE140*(AB140-1.669))*100)/100</f>
        <v>1.73</v>
      </c>
      <c r="AH140" s="593">
        <f ca="1" t="shared" si="17"/>
        <v>1</v>
      </c>
      <c r="AI140" s="590">
        <f t="shared" si="23"/>
        <v>1.68</v>
      </c>
      <c r="AJ140" s="590">
        <f ca="1" t="shared" si="24"/>
        <v>7</v>
      </c>
      <c r="AK140" s="590">
        <f ca="1" t="shared" si="25"/>
        <v>0</v>
      </c>
      <c r="AL140" s="590">
        <f t="shared" si="26"/>
        <v>74.8</v>
      </c>
      <c r="AM140" s="590">
        <f t="shared" si="27"/>
        <v>67.8</v>
      </c>
      <c r="AN140" s="590">
        <f ca="1" t="shared" si="28"/>
        <v>10</v>
      </c>
      <c r="AO140" s="590">
        <f ca="1" t="shared" si="29"/>
        <v>0</v>
      </c>
      <c r="AP140" s="590">
        <f t="shared" si="30"/>
        <v>74.1</v>
      </c>
      <c r="AQ140" s="590">
        <f t="shared" si="31"/>
        <v>64.1</v>
      </c>
    </row>
    <row r="141" spans="1:43" ht="12.75">
      <c r="A141" s="357">
        <v>24</v>
      </c>
      <c r="B141" s="376" t="str">
        <f>IF(E112=1,AB141,"       Genere")</f>
        <v>       Genere</v>
      </c>
      <c r="C141" s="377" t="str">
        <f>IF(E112=1,AM141,"    Gener")</f>
        <v>    Gener</v>
      </c>
      <c r="D141" s="377" t="str">
        <f>IF(E112=1,AI141,"    Gener")</f>
        <v>    Gener</v>
      </c>
      <c r="E141" s="377" t="str">
        <f>IF(E112=1,AQ141,"    Gener")</f>
        <v>    Gener</v>
      </c>
      <c r="Z141" s="592">
        <f ca="1" t="shared" si="18"/>
        <v>0.14</v>
      </c>
      <c r="AA141" s="593">
        <f ca="1" t="shared" si="19"/>
        <v>1</v>
      </c>
      <c r="AB141" s="590">
        <f>IF(AA141=0,E108-Z141,E108+Z141)</f>
        <v>1.81</v>
      </c>
      <c r="AC141" s="593">
        <f ca="1" t="shared" si="16"/>
        <v>0</v>
      </c>
      <c r="AD141" s="592">
        <f ca="1" t="shared" si="20"/>
        <v>0</v>
      </c>
      <c r="AE141" s="590">
        <f t="shared" si="21"/>
        <v>0.93396</v>
      </c>
      <c r="AF141" s="592">
        <f ca="1" t="shared" si="22"/>
        <v>0.11</v>
      </c>
      <c r="AG141" s="590">
        <f>INT((E109+AE141*(AB141-1.669))*100)/100</f>
        <v>1.81</v>
      </c>
      <c r="AH141" s="593">
        <f ca="1" t="shared" si="17"/>
        <v>1</v>
      </c>
      <c r="AI141" s="590">
        <f t="shared" si="23"/>
        <v>1.75</v>
      </c>
      <c r="AJ141" s="590">
        <f ca="1" t="shared" si="24"/>
        <v>1</v>
      </c>
      <c r="AK141" s="590">
        <f ca="1" t="shared" si="25"/>
        <v>0</v>
      </c>
      <c r="AL141" s="590">
        <f t="shared" si="26"/>
        <v>79</v>
      </c>
      <c r="AM141" s="590">
        <f t="shared" si="27"/>
        <v>78</v>
      </c>
      <c r="AN141" s="590">
        <f ca="1" t="shared" si="28"/>
        <v>9</v>
      </c>
      <c r="AO141" s="590">
        <f ca="1" t="shared" si="29"/>
        <v>1</v>
      </c>
      <c r="AP141" s="590">
        <f t="shared" si="30"/>
        <v>77.9</v>
      </c>
      <c r="AQ141" s="590">
        <f t="shared" si="31"/>
        <v>86.9</v>
      </c>
    </row>
    <row r="142" spans="1:43" ht="12.75">
      <c r="A142" s="357">
        <v>25</v>
      </c>
      <c r="B142" s="376" t="str">
        <f>IF(E112=1,AB142,"       Genere")</f>
        <v>       Genere</v>
      </c>
      <c r="C142" s="377" t="str">
        <f>IF(E112=1,AM142,"    Gener")</f>
        <v>    Gener</v>
      </c>
      <c r="D142" s="377" t="str">
        <f>IF(E112=1,AI142,"    Gener")</f>
        <v>    Gener</v>
      </c>
      <c r="E142" s="377" t="str">
        <f>IF(E112=1,AQ142,"    Gener")</f>
        <v>    Gener</v>
      </c>
      <c r="Z142" s="592">
        <f ca="1" t="shared" si="18"/>
        <v>0.16</v>
      </c>
      <c r="AA142" s="593">
        <f ca="1" t="shared" si="19"/>
        <v>0</v>
      </c>
      <c r="AB142" s="590">
        <f>IF(AA142=0,E108-Z142,E108+Z142)</f>
        <v>1.51</v>
      </c>
      <c r="AC142" s="593">
        <f ca="1" t="shared" si="16"/>
        <v>1</v>
      </c>
      <c r="AD142" s="592">
        <f ca="1" t="shared" si="20"/>
        <v>0.04</v>
      </c>
      <c r="AE142" s="590">
        <f t="shared" si="21"/>
        <v>0.8395600000000001</v>
      </c>
      <c r="AF142" s="592">
        <f ca="1" t="shared" si="22"/>
        <v>0.2</v>
      </c>
      <c r="AG142" s="590">
        <f>INT((E109+AE142*(AB142-1.669))*100)/100</f>
        <v>1.54</v>
      </c>
      <c r="AH142" s="593">
        <f ca="1" t="shared" si="17"/>
        <v>0</v>
      </c>
      <c r="AI142" s="590">
        <f t="shared" si="23"/>
        <v>1.63</v>
      </c>
      <c r="AJ142" s="590">
        <f ca="1" t="shared" si="24"/>
        <v>6</v>
      </c>
      <c r="AK142" s="590">
        <f ca="1" t="shared" si="25"/>
        <v>0</v>
      </c>
      <c r="AL142" s="590">
        <f t="shared" si="26"/>
        <v>63.1</v>
      </c>
      <c r="AM142" s="590">
        <f t="shared" si="27"/>
        <v>57.1</v>
      </c>
      <c r="AN142" s="590">
        <f ca="1" t="shared" si="28"/>
        <v>2</v>
      </c>
      <c r="AO142" s="590">
        <f ca="1" t="shared" si="29"/>
        <v>0</v>
      </c>
      <c r="AP142" s="590">
        <f t="shared" si="30"/>
        <v>71.5</v>
      </c>
      <c r="AQ142" s="590">
        <f t="shared" si="31"/>
        <v>69.5</v>
      </c>
    </row>
    <row r="143" spans="1:43" ht="12.75">
      <c r="A143" s="357">
        <v>26</v>
      </c>
      <c r="B143" s="376" t="str">
        <f>IF(E112=1,AB143,"       Genere")</f>
        <v>       Genere</v>
      </c>
      <c r="C143" s="377" t="str">
        <f>IF(E112=1,AM143,"    Gener")</f>
        <v>    Gener</v>
      </c>
      <c r="D143" s="377" t="str">
        <f>IF(E112=1,AI143,"    Gener")</f>
        <v>    Gener</v>
      </c>
      <c r="E143" s="377" t="str">
        <f>IF(E112=1,AQ143,"    Gener")</f>
        <v>    Gener</v>
      </c>
      <c r="Z143" s="592">
        <f ca="1" t="shared" si="18"/>
        <v>0.02</v>
      </c>
      <c r="AA143" s="593">
        <f ca="1" t="shared" si="19"/>
        <v>0</v>
      </c>
      <c r="AB143" s="590">
        <f>IF(AA143=0,E108-Z143,E108+Z143)</f>
        <v>1.65</v>
      </c>
      <c r="AC143" s="593">
        <f ca="1" t="shared" si="16"/>
        <v>0</v>
      </c>
      <c r="AD143" s="592">
        <f ca="1" t="shared" si="20"/>
        <v>0</v>
      </c>
      <c r="AE143" s="590">
        <f t="shared" si="21"/>
        <v>0.8513999999999999</v>
      </c>
      <c r="AF143" s="592">
        <f ca="1" t="shared" si="22"/>
        <v>0.11</v>
      </c>
      <c r="AG143" s="590">
        <f>INT((E109+AE143*(AB143-1.669))*100)/100</f>
        <v>1.66</v>
      </c>
      <c r="AH143" s="593">
        <f ca="1" t="shared" si="17"/>
        <v>1</v>
      </c>
      <c r="AI143" s="590">
        <f t="shared" si="23"/>
        <v>1.71</v>
      </c>
      <c r="AJ143" s="590">
        <f ca="1" t="shared" si="24"/>
        <v>4</v>
      </c>
      <c r="AK143" s="590">
        <f ca="1" t="shared" si="25"/>
        <v>1</v>
      </c>
      <c r="AL143" s="590">
        <f t="shared" si="26"/>
        <v>70.6</v>
      </c>
      <c r="AM143" s="590">
        <f t="shared" si="27"/>
        <v>74.6</v>
      </c>
      <c r="AN143" s="590">
        <f ca="1" t="shared" si="28"/>
        <v>9</v>
      </c>
      <c r="AO143" s="590">
        <f ca="1" t="shared" si="29"/>
        <v>1</v>
      </c>
      <c r="AP143" s="590">
        <f t="shared" si="30"/>
        <v>75.7</v>
      </c>
      <c r="AQ143" s="590">
        <f t="shared" si="31"/>
        <v>84.7</v>
      </c>
    </row>
    <row r="144" spans="1:43" ht="12.75">
      <c r="A144" s="357">
        <v>27</v>
      </c>
      <c r="B144" s="376" t="str">
        <f>IF(E112=1,AB144,"       Genere")</f>
        <v>       Genere</v>
      </c>
      <c r="C144" s="377" t="str">
        <f>IF(E112=1,AM144,"    Gener")</f>
        <v>    Gener</v>
      </c>
      <c r="D144" s="377" t="str">
        <f>IF(E112=1,AI144,"    Gener")</f>
        <v>    Gener</v>
      </c>
      <c r="E144" s="377" t="str">
        <f>IF(E112=1,AQ144,"    Gener")</f>
        <v>    Gener</v>
      </c>
      <c r="Z144" s="592">
        <f ca="1" t="shared" si="18"/>
        <v>0.11</v>
      </c>
      <c r="AA144" s="593">
        <f ca="1" t="shared" si="19"/>
        <v>0</v>
      </c>
      <c r="AB144" s="590">
        <f>IF(AA144=0,E108-Z144,E108+Z144)</f>
        <v>1.5599999999999998</v>
      </c>
      <c r="AC144" s="593">
        <f ca="1" t="shared" si="16"/>
        <v>0</v>
      </c>
      <c r="AD144" s="592">
        <f ca="1" t="shared" si="20"/>
        <v>0.01</v>
      </c>
      <c r="AE144" s="590">
        <f t="shared" si="21"/>
        <v>0.78936</v>
      </c>
      <c r="AF144" s="592">
        <f ca="1" t="shared" si="22"/>
        <v>0.15</v>
      </c>
      <c r="AG144" s="590">
        <f>INT((E109+AE144*(AB144-1.669))*100)/100</f>
        <v>1.59</v>
      </c>
      <c r="AH144" s="593">
        <f ca="1" t="shared" si="17"/>
        <v>1</v>
      </c>
      <c r="AI144" s="590">
        <f t="shared" si="23"/>
        <v>1.66</v>
      </c>
      <c r="AJ144" s="590">
        <f ca="1" t="shared" si="24"/>
        <v>19</v>
      </c>
      <c r="AK144" s="590">
        <f ca="1" t="shared" si="25"/>
        <v>1</v>
      </c>
      <c r="AL144" s="590">
        <f t="shared" si="26"/>
        <v>65.8</v>
      </c>
      <c r="AM144" s="590">
        <f t="shared" si="27"/>
        <v>84.8</v>
      </c>
      <c r="AN144" s="590">
        <f ca="1" t="shared" si="28"/>
        <v>4</v>
      </c>
      <c r="AO144" s="590">
        <f ca="1" t="shared" si="29"/>
        <v>1</v>
      </c>
      <c r="AP144" s="590">
        <f t="shared" si="30"/>
        <v>73.1</v>
      </c>
      <c r="AQ144" s="590">
        <f t="shared" si="31"/>
        <v>77.1</v>
      </c>
    </row>
    <row r="145" spans="1:43" ht="12.75">
      <c r="A145" s="357">
        <v>28</v>
      </c>
      <c r="B145" s="376" t="str">
        <f>IF(E112=1,AB145,"       Genere")</f>
        <v>       Genere</v>
      </c>
      <c r="C145" s="377" t="str">
        <f>IF(E112=1,AM145,"    Gener")</f>
        <v>    Gener</v>
      </c>
      <c r="D145" s="377" t="str">
        <f>IF(E112=1,AI145,"    Gener")</f>
        <v>    Gener</v>
      </c>
      <c r="E145" s="377" t="str">
        <f>IF(E112=1,AQ145,"    Gener")</f>
        <v>    Gener</v>
      </c>
      <c r="Z145" s="592">
        <f ca="1" t="shared" si="18"/>
        <v>0.21</v>
      </c>
      <c r="AA145" s="593">
        <f ca="1" t="shared" si="19"/>
        <v>0</v>
      </c>
      <c r="AB145" s="590">
        <f>IF(AA145=0,E108-Z145,E108+Z145)</f>
        <v>1.46</v>
      </c>
      <c r="AC145" s="593">
        <f ca="1" t="shared" si="16"/>
        <v>0</v>
      </c>
      <c r="AD145" s="592">
        <f ca="1" t="shared" si="20"/>
        <v>0.03</v>
      </c>
      <c r="AE145" s="590">
        <f t="shared" si="21"/>
        <v>0.70956</v>
      </c>
      <c r="AF145" s="592">
        <f ca="1" t="shared" si="22"/>
        <v>0.2</v>
      </c>
      <c r="AG145" s="590">
        <f>INT((E109+AE145*(AB145-1.669))*100)/100</f>
        <v>1.53</v>
      </c>
      <c r="AH145" s="593">
        <f ca="1" t="shared" si="17"/>
        <v>0</v>
      </c>
      <c r="AI145" s="590">
        <f t="shared" si="23"/>
        <v>1.62</v>
      </c>
      <c r="AJ145" s="590">
        <f ca="1" t="shared" si="24"/>
        <v>10</v>
      </c>
      <c r="AK145" s="590">
        <f ca="1" t="shared" si="25"/>
        <v>0</v>
      </c>
      <c r="AL145" s="590">
        <f t="shared" si="26"/>
        <v>60.5</v>
      </c>
      <c r="AM145" s="590">
        <f t="shared" si="27"/>
        <v>50.5</v>
      </c>
      <c r="AN145" s="590">
        <f ca="1" t="shared" si="28"/>
        <v>17</v>
      </c>
      <c r="AO145" s="590">
        <f ca="1" t="shared" si="29"/>
        <v>0</v>
      </c>
      <c r="AP145" s="590">
        <f t="shared" si="30"/>
        <v>71</v>
      </c>
      <c r="AQ145" s="590">
        <f t="shared" si="31"/>
        <v>54</v>
      </c>
    </row>
    <row r="146" spans="1:43" ht="12.75">
      <c r="A146" s="357">
        <v>29</v>
      </c>
      <c r="B146" s="376" t="str">
        <f>IF(E112=1,AB146,"       Genere")</f>
        <v>       Genere</v>
      </c>
      <c r="C146" s="377" t="str">
        <f>IF(E112=1,AM146,"    Gener")</f>
        <v>    Gener</v>
      </c>
      <c r="D146" s="377" t="str">
        <f>IF(E112=1,AI146,"    Gener")</f>
        <v>    Gener</v>
      </c>
      <c r="E146" s="377" t="str">
        <f>IF(E112=1,AQ146,"    Gener")</f>
        <v>    Gener</v>
      </c>
      <c r="Z146" s="592">
        <f ca="1" t="shared" si="18"/>
        <v>0.18</v>
      </c>
      <c r="AA146" s="593">
        <f ca="1" t="shared" si="19"/>
        <v>1</v>
      </c>
      <c r="AB146" s="590">
        <f>IF(AA146=0,E108-Z146,E108+Z146)</f>
        <v>1.8499999999999999</v>
      </c>
      <c r="AC146" s="593">
        <f ca="1" t="shared" si="16"/>
        <v>1</v>
      </c>
      <c r="AD146" s="592">
        <f ca="1" t="shared" si="20"/>
        <v>0.04</v>
      </c>
      <c r="AE146" s="590">
        <f t="shared" si="21"/>
        <v>1.0286</v>
      </c>
      <c r="AF146" s="592">
        <f ca="1" t="shared" si="22"/>
        <v>0.11</v>
      </c>
      <c r="AG146" s="590">
        <f>INT((E109+AE146*(AB146-1.669))*100)/100</f>
        <v>1.86</v>
      </c>
      <c r="AH146" s="593">
        <f ca="1" t="shared" si="17"/>
        <v>0</v>
      </c>
      <c r="AI146" s="590">
        <f t="shared" si="23"/>
        <v>1.8</v>
      </c>
      <c r="AJ146" s="590">
        <f ca="1" t="shared" si="24"/>
        <v>12</v>
      </c>
      <c r="AK146" s="590">
        <f ca="1" t="shared" si="25"/>
        <v>1</v>
      </c>
      <c r="AL146" s="590">
        <f t="shared" si="26"/>
        <v>81.2</v>
      </c>
      <c r="AM146" s="590">
        <f t="shared" si="27"/>
        <v>93.2</v>
      </c>
      <c r="AN146" s="590">
        <f ca="1" t="shared" si="28"/>
        <v>19</v>
      </c>
      <c r="AO146" s="590">
        <f ca="1" t="shared" si="29"/>
        <v>1</v>
      </c>
      <c r="AP146" s="590">
        <f t="shared" si="30"/>
        <v>80.5</v>
      </c>
      <c r="AQ146" s="590">
        <f t="shared" si="31"/>
        <v>99.5</v>
      </c>
    </row>
    <row r="147" spans="1:43" ht="12.75">
      <c r="A147" s="357">
        <v>30</v>
      </c>
      <c r="B147" s="376" t="str">
        <f>IF(E112=1,AB147,"       Genere")</f>
        <v>       Genere</v>
      </c>
      <c r="C147" s="377" t="str">
        <f>IF(E112=1,AM147,"    Gener")</f>
        <v>    Gener</v>
      </c>
      <c r="D147" s="377" t="str">
        <f>IF(E112=1,AI147,"    Gener")</f>
        <v>    Gener</v>
      </c>
      <c r="E147" s="377" t="str">
        <f>IF(E112=1,AQ147,"    Gener")</f>
        <v>    Gener</v>
      </c>
      <c r="Z147" s="592">
        <f ca="1" t="shared" si="18"/>
        <v>0.17</v>
      </c>
      <c r="AA147" s="593">
        <f ca="1" t="shared" si="19"/>
        <v>0</v>
      </c>
      <c r="AB147" s="590">
        <f>IF(AA147=0,E108-Z147,E108+Z147)</f>
        <v>1.5</v>
      </c>
      <c r="AC147" s="593">
        <f ca="1" t="shared" si="16"/>
        <v>0</v>
      </c>
      <c r="AD147" s="592">
        <f ca="1" t="shared" si="20"/>
        <v>0.01</v>
      </c>
      <c r="AE147" s="590">
        <f t="shared" si="21"/>
        <v>0.759</v>
      </c>
      <c r="AF147" s="592">
        <f ca="1" t="shared" si="22"/>
        <v>0.08</v>
      </c>
      <c r="AG147" s="590">
        <f>INT((E109+AE147*(AB147-1.669))*100)/100</f>
        <v>1.55</v>
      </c>
      <c r="AH147" s="593">
        <f ca="1" t="shared" si="17"/>
        <v>1</v>
      </c>
      <c r="AI147" s="590">
        <f t="shared" si="23"/>
        <v>1.58</v>
      </c>
      <c r="AJ147" s="590">
        <f ca="1" t="shared" si="24"/>
        <v>6</v>
      </c>
      <c r="AK147" s="590">
        <f ca="1" t="shared" si="25"/>
        <v>0</v>
      </c>
      <c r="AL147" s="590">
        <f t="shared" si="26"/>
        <v>62.6</v>
      </c>
      <c r="AM147" s="590">
        <f t="shared" si="27"/>
        <v>56.6</v>
      </c>
      <c r="AN147" s="590">
        <f ca="1" t="shared" si="28"/>
        <v>2</v>
      </c>
      <c r="AO147" s="590">
        <f ca="1" t="shared" si="29"/>
        <v>1</v>
      </c>
      <c r="AP147" s="590">
        <f t="shared" si="30"/>
        <v>68.8</v>
      </c>
      <c r="AQ147" s="590">
        <f t="shared" si="31"/>
        <v>70.8</v>
      </c>
    </row>
    <row r="148" spans="1:43" ht="12.75">
      <c r="A148" s="357">
        <v>31</v>
      </c>
      <c r="B148" s="376" t="str">
        <f>IF(E112=1,AB148,"       Genere")</f>
        <v>       Genere</v>
      </c>
      <c r="C148" s="377" t="str">
        <f>IF(E112=1,AM148,"    Gener")</f>
        <v>    Gener</v>
      </c>
      <c r="D148" s="377" t="str">
        <f>IF(E112=1,AI148,"    Gener")</f>
        <v>    Gener</v>
      </c>
      <c r="E148" s="377" t="str">
        <f>IF(E112=1,AQ148,"    Gener")</f>
        <v>    Gener</v>
      </c>
      <c r="Z148" s="592">
        <f ca="1" t="shared" si="18"/>
        <v>0.2</v>
      </c>
      <c r="AA148" s="593">
        <f ca="1" t="shared" si="19"/>
        <v>1</v>
      </c>
      <c r="AB148" s="590">
        <f>IF(AA148=0,E108-Z148,E108+Z148)</f>
        <v>1.8699999999999999</v>
      </c>
      <c r="AC148" s="593">
        <f ca="1" t="shared" si="16"/>
        <v>1</v>
      </c>
      <c r="AD148" s="592">
        <f ca="1" t="shared" si="20"/>
        <v>0.03</v>
      </c>
      <c r="AE148" s="590">
        <f t="shared" si="21"/>
        <v>1.02102</v>
      </c>
      <c r="AF148" s="592">
        <f ca="1" t="shared" si="22"/>
        <v>0.16</v>
      </c>
      <c r="AG148" s="590">
        <f>INT((E109+AE148*(AB148-1.669))*100)/100</f>
        <v>1.88</v>
      </c>
      <c r="AH148" s="593">
        <f ca="1" t="shared" si="17"/>
        <v>0</v>
      </c>
      <c r="AI148" s="590">
        <f t="shared" si="23"/>
        <v>1.8</v>
      </c>
      <c r="AJ148" s="590">
        <f ca="1" t="shared" si="24"/>
        <v>4</v>
      </c>
      <c r="AK148" s="590">
        <f ca="1" t="shared" si="25"/>
        <v>1</v>
      </c>
      <c r="AL148" s="590">
        <f t="shared" si="26"/>
        <v>82.2</v>
      </c>
      <c r="AM148" s="590">
        <f t="shared" si="27"/>
        <v>86.2</v>
      </c>
      <c r="AN148" s="590">
        <f ca="1" t="shared" si="28"/>
        <v>6</v>
      </c>
      <c r="AO148" s="590">
        <f ca="1" t="shared" si="29"/>
        <v>1</v>
      </c>
      <c r="AP148" s="590">
        <f t="shared" si="30"/>
        <v>80.5</v>
      </c>
      <c r="AQ148" s="590">
        <f t="shared" si="31"/>
        <v>86.5</v>
      </c>
    </row>
    <row r="149" spans="1:43" ht="12.75">
      <c r="A149" s="357">
        <v>32</v>
      </c>
      <c r="B149" s="376" t="str">
        <f>IF(E112=1,AB149,"       Genere")</f>
        <v>       Genere</v>
      </c>
      <c r="C149" s="377" t="str">
        <f>IF(E112=1,AM149,"    Gener")</f>
        <v>    Gener</v>
      </c>
      <c r="D149" s="377" t="str">
        <f>IF(E112=1,AI149,"    Gener")</f>
        <v>    Gener</v>
      </c>
      <c r="E149" s="377" t="str">
        <f>IF(E112=1,AQ149,"    Gener")</f>
        <v>    Gener</v>
      </c>
      <c r="Z149" s="592">
        <f ca="1" t="shared" si="18"/>
        <v>0.04</v>
      </c>
      <c r="AA149" s="593">
        <f ca="1" t="shared" si="19"/>
        <v>0</v>
      </c>
      <c r="AB149" s="590">
        <f>IF(AA149=0,E108-Z149,E108+Z149)</f>
        <v>1.63</v>
      </c>
      <c r="AC149" s="593">
        <f ca="1" t="shared" si="16"/>
        <v>1</v>
      </c>
      <c r="AD149" s="592">
        <f ca="1" t="shared" si="20"/>
        <v>0</v>
      </c>
      <c r="AE149" s="590">
        <f t="shared" si="21"/>
        <v>0.8410799999999999</v>
      </c>
      <c r="AF149" s="592">
        <f ca="1" t="shared" si="22"/>
        <v>0.07</v>
      </c>
      <c r="AG149" s="590">
        <f>INT((E109+AE149*(AB149-1.669))*100)/100</f>
        <v>1.64</v>
      </c>
      <c r="AH149" s="593">
        <f ca="1" t="shared" si="17"/>
        <v>1</v>
      </c>
      <c r="AI149" s="590">
        <f t="shared" si="23"/>
        <v>1.67</v>
      </c>
      <c r="AJ149" s="590">
        <f ca="1" t="shared" si="24"/>
        <v>1</v>
      </c>
      <c r="AK149" s="590">
        <f ca="1" t="shared" si="25"/>
        <v>1</v>
      </c>
      <c r="AL149" s="590">
        <f t="shared" si="26"/>
        <v>69.5</v>
      </c>
      <c r="AM149" s="590">
        <f t="shared" si="27"/>
        <v>70.5</v>
      </c>
      <c r="AN149" s="590">
        <f ca="1" t="shared" si="28"/>
        <v>4</v>
      </c>
      <c r="AO149" s="590">
        <f ca="1" t="shared" si="29"/>
        <v>0</v>
      </c>
      <c r="AP149" s="590">
        <f t="shared" si="30"/>
        <v>73.6</v>
      </c>
      <c r="AQ149" s="590">
        <f t="shared" si="31"/>
        <v>69.6</v>
      </c>
    </row>
    <row r="150" spans="1:43" ht="12.75">
      <c r="A150" s="357">
        <v>33</v>
      </c>
      <c r="B150" s="376" t="str">
        <f>IF(E112=1,AB150,"       Genere")</f>
        <v>       Genere</v>
      </c>
      <c r="C150" s="377" t="str">
        <f>IF(E112=1,AM150,"    Gener")</f>
        <v>    Gener</v>
      </c>
      <c r="D150" s="377" t="str">
        <f>IF(E112=1,AI150,"    Gener")</f>
        <v>    Gener</v>
      </c>
      <c r="E150" s="377" t="str">
        <f>IF(E112=1,AQ150,"    Gener")</f>
        <v>    Gener</v>
      </c>
      <c r="Z150" s="592">
        <f ca="1" t="shared" si="18"/>
        <v>0.16</v>
      </c>
      <c r="AA150" s="593">
        <f ca="1" t="shared" si="19"/>
        <v>0</v>
      </c>
      <c r="AB150" s="590">
        <f>IF(AA150=0,E108-Z150,E108+Z150)</f>
        <v>1.51</v>
      </c>
      <c r="AC150" s="593">
        <f ca="1" t="shared" si="16"/>
        <v>1</v>
      </c>
      <c r="AD150" s="592">
        <f ca="1" t="shared" si="20"/>
        <v>0.03</v>
      </c>
      <c r="AE150" s="590">
        <f t="shared" si="21"/>
        <v>0.8244600000000001</v>
      </c>
      <c r="AF150" s="592">
        <f ca="1" t="shared" si="22"/>
        <v>0.05</v>
      </c>
      <c r="AG150" s="590">
        <f>INT((E109+AE150*(AB150-1.669))*100)/100</f>
        <v>1.54</v>
      </c>
      <c r="AH150" s="593">
        <f ca="1" t="shared" si="17"/>
        <v>1</v>
      </c>
      <c r="AI150" s="590">
        <f t="shared" si="23"/>
        <v>1.56</v>
      </c>
      <c r="AJ150" s="590">
        <f ca="1" t="shared" si="24"/>
        <v>15</v>
      </c>
      <c r="AK150" s="590">
        <f ca="1" t="shared" si="25"/>
        <v>1</v>
      </c>
      <c r="AL150" s="590">
        <f t="shared" si="26"/>
        <v>63.1</v>
      </c>
      <c r="AM150" s="590">
        <f t="shared" si="27"/>
        <v>78.1</v>
      </c>
      <c r="AN150" s="590">
        <f ca="1" t="shared" si="28"/>
        <v>17</v>
      </c>
      <c r="AO150" s="590">
        <f ca="1" t="shared" si="29"/>
        <v>1</v>
      </c>
      <c r="AP150" s="590">
        <f t="shared" si="30"/>
        <v>67.8</v>
      </c>
      <c r="AQ150" s="590">
        <f t="shared" si="31"/>
        <v>84.8</v>
      </c>
    </row>
    <row r="151" spans="1:43" ht="12.75">
      <c r="A151" s="357">
        <v>34</v>
      </c>
      <c r="B151" s="376" t="str">
        <f>IF(E112=1,AB151,"       Genere")</f>
        <v>       Genere</v>
      </c>
      <c r="C151" s="377" t="str">
        <f>IF(E112=1,AM151,"    Gener")</f>
        <v>    Gener</v>
      </c>
      <c r="D151" s="377" t="str">
        <f>IF(E112=1,AI151,"    Gener")</f>
        <v>    Gener</v>
      </c>
      <c r="E151" s="377" t="str">
        <f>IF(E112=1,AQ151,"    Gener")</f>
        <v>    Gener</v>
      </c>
      <c r="Z151" s="592">
        <f ca="1" t="shared" si="18"/>
        <v>0.13</v>
      </c>
      <c r="AA151" s="593">
        <f ca="1" t="shared" si="19"/>
        <v>1</v>
      </c>
      <c r="AB151" s="590">
        <f>IF(AA151=0,E108-Z151,E108+Z151)</f>
        <v>1.7999999999999998</v>
      </c>
      <c r="AC151" s="593">
        <f ca="1" t="shared" si="16"/>
        <v>0</v>
      </c>
      <c r="AD151" s="592">
        <f ca="1" t="shared" si="20"/>
        <v>0.04</v>
      </c>
      <c r="AE151" s="590">
        <f t="shared" si="21"/>
        <v>0.8568</v>
      </c>
      <c r="AF151" s="592">
        <f ca="1" t="shared" si="22"/>
        <v>0.22</v>
      </c>
      <c r="AG151" s="590">
        <f>INT((E109+AE151*(AB151-1.669))*100)/100</f>
        <v>1.79</v>
      </c>
      <c r="AH151" s="593">
        <f ca="1" t="shared" si="17"/>
        <v>0</v>
      </c>
      <c r="AI151" s="590">
        <f t="shared" si="23"/>
        <v>1.68</v>
      </c>
      <c r="AJ151" s="590">
        <f ca="1" t="shared" si="24"/>
        <v>13</v>
      </c>
      <c r="AK151" s="590">
        <f ca="1" t="shared" si="25"/>
        <v>0</v>
      </c>
      <c r="AL151" s="590">
        <f t="shared" si="26"/>
        <v>78.5</v>
      </c>
      <c r="AM151" s="590">
        <f t="shared" si="27"/>
        <v>65.5</v>
      </c>
      <c r="AN151" s="590">
        <f ca="1" t="shared" si="28"/>
        <v>7</v>
      </c>
      <c r="AO151" s="590">
        <f ca="1" t="shared" si="29"/>
        <v>1</v>
      </c>
      <c r="AP151" s="590">
        <f t="shared" si="30"/>
        <v>74.1</v>
      </c>
      <c r="AQ151" s="590">
        <f t="shared" si="31"/>
        <v>81.1</v>
      </c>
    </row>
    <row r="152" spans="1:43" ht="12.75">
      <c r="A152" s="357">
        <v>35</v>
      </c>
      <c r="B152" s="376" t="str">
        <f>IF(E112=1,AB152,"       Genere")</f>
        <v>       Genere</v>
      </c>
      <c r="C152" s="377" t="str">
        <f>IF(E112=1,AM152,"    Gener")</f>
        <v>    Gener</v>
      </c>
      <c r="D152" s="377" t="str">
        <f>IF(E112=1,AI152,"    Gener")</f>
        <v>    Gener</v>
      </c>
      <c r="E152" s="377" t="str">
        <f>IF(E112=1,AQ152,"    Gener")</f>
        <v>    Gener</v>
      </c>
      <c r="Z152" s="592">
        <f ca="1" t="shared" si="18"/>
        <v>0.08</v>
      </c>
      <c r="AA152" s="593">
        <f ca="1" t="shared" si="19"/>
        <v>0</v>
      </c>
      <c r="AB152" s="590">
        <f>IF(AA152=0,E108-Z152,E108+Z152)</f>
        <v>1.5899999999999999</v>
      </c>
      <c r="AC152" s="593">
        <f ca="1" t="shared" si="16"/>
        <v>0</v>
      </c>
      <c r="AD152" s="592">
        <f ca="1" t="shared" si="20"/>
        <v>0.04</v>
      </c>
      <c r="AE152" s="590">
        <f t="shared" si="21"/>
        <v>0.75684</v>
      </c>
      <c r="AF152" s="592">
        <f ca="1" t="shared" si="22"/>
        <v>0.2</v>
      </c>
      <c r="AG152" s="590">
        <f>INT((E109+AE152*(AB152-1.669))*100)/100</f>
        <v>1.62</v>
      </c>
      <c r="AH152" s="593">
        <f ca="1" t="shared" si="17"/>
        <v>1</v>
      </c>
      <c r="AI152" s="590">
        <f t="shared" si="23"/>
        <v>1.71</v>
      </c>
      <c r="AJ152" s="590">
        <f ca="1" t="shared" si="24"/>
        <v>3</v>
      </c>
      <c r="AK152" s="590">
        <f ca="1" t="shared" si="25"/>
        <v>1</v>
      </c>
      <c r="AL152" s="590">
        <f t="shared" si="26"/>
        <v>67.4</v>
      </c>
      <c r="AM152" s="590">
        <f t="shared" si="27"/>
        <v>70.4</v>
      </c>
      <c r="AN152" s="590">
        <f ca="1" t="shared" si="28"/>
        <v>16</v>
      </c>
      <c r="AO152" s="590">
        <f ca="1" t="shared" si="29"/>
        <v>0</v>
      </c>
      <c r="AP152" s="590">
        <f t="shared" si="30"/>
        <v>75.7</v>
      </c>
      <c r="AQ152" s="590">
        <f t="shared" si="31"/>
        <v>59.7</v>
      </c>
    </row>
    <row r="153" spans="1:43" ht="12.75">
      <c r="A153" s="357">
        <v>36</v>
      </c>
      <c r="B153" s="376" t="str">
        <f>IF(E112=1,AB153,"       Genere")</f>
        <v>       Genere</v>
      </c>
      <c r="C153" s="377" t="str">
        <f>IF(E112=1,AM153,"    Gener")</f>
        <v>    Gener</v>
      </c>
      <c r="D153" s="377" t="str">
        <f>IF(E112=1,AI153,"    Gener")</f>
        <v>    Gener</v>
      </c>
      <c r="E153" s="377" t="str">
        <f>IF(E112=1,AQ153,"    Gener")</f>
        <v>    Gener</v>
      </c>
      <c r="Z153" s="592">
        <f ca="1" t="shared" si="18"/>
        <v>0.02</v>
      </c>
      <c r="AA153" s="593">
        <f ca="1" t="shared" si="19"/>
        <v>0</v>
      </c>
      <c r="AB153" s="590">
        <f>IF(AA153=0,E108-Z153,E108+Z153)</f>
        <v>1.65</v>
      </c>
      <c r="AC153" s="593">
        <f ca="1" t="shared" si="16"/>
        <v>0</v>
      </c>
      <c r="AD153" s="592">
        <f ca="1" t="shared" si="20"/>
        <v>0</v>
      </c>
      <c r="AE153" s="590">
        <f t="shared" si="21"/>
        <v>0.8513999999999999</v>
      </c>
      <c r="AF153" s="592">
        <f ca="1" t="shared" si="22"/>
        <v>0.16</v>
      </c>
      <c r="AG153" s="590">
        <f>INT((E109+AE153*(AB153-1.669))*100)/100</f>
        <v>1.66</v>
      </c>
      <c r="AH153" s="593">
        <f ca="1" t="shared" si="17"/>
        <v>0</v>
      </c>
      <c r="AI153" s="590">
        <f t="shared" si="23"/>
        <v>1.73</v>
      </c>
      <c r="AJ153" s="590">
        <f ca="1" t="shared" si="24"/>
        <v>2</v>
      </c>
      <c r="AK153" s="590">
        <f ca="1" t="shared" si="25"/>
        <v>0</v>
      </c>
      <c r="AL153" s="590">
        <f t="shared" si="26"/>
        <v>70.6</v>
      </c>
      <c r="AM153" s="590">
        <f t="shared" si="27"/>
        <v>68.6</v>
      </c>
      <c r="AN153" s="590">
        <f ca="1" t="shared" si="28"/>
        <v>16</v>
      </c>
      <c r="AO153" s="590">
        <f ca="1" t="shared" si="29"/>
        <v>1</v>
      </c>
      <c r="AP153" s="590">
        <f t="shared" si="30"/>
        <v>76.8</v>
      </c>
      <c r="AQ153" s="590">
        <f t="shared" si="31"/>
        <v>92.8</v>
      </c>
    </row>
    <row r="154" spans="1:43" ht="12.75">
      <c r="A154" s="357">
        <v>37</v>
      </c>
      <c r="B154" s="376" t="str">
        <f>IF(E112=1,AB154,"       Genere")</f>
        <v>       Genere</v>
      </c>
      <c r="C154" s="377" t="str">
        <f>IF(E112=1,AM154,"    Gener")</f>
        <v>    Gener</v>
      </c>
      <c r="D154" s="377" t="str">
        <f>IF(E112=1,AI154,"    Gener")</f>
        <v>    Gener</v>
      </c>
      <c r="E154" s="377" t="str">
        <f>IF(E112=1,AQ154,"    Gener")</f>
        <v>    Gener</v>
      </c>
      <c r="Z154" s="592">
        <f ca="1" t="shared" si="18"/>
        <v>0</v>
      </c>
      <c r="AA154" s="593">
        <f ca="1" t="shared" si="19"/>
        <v>1</v>
      </c>
      <c r="AB154" s="590">
        <f>IF(AA154=0,E108-Z154,E108+Z154)</f>
        <v>1.67</v>
      </c>
      <c r="AC154" s="593">
        <f ca="1" t="shared" si="16"/>
        <v>0</v>
      </c>
      <c r="AD154" s="592">
        <f ca="1" t="shared" si="20"/>
        <v>0.01</v>
      </c>
      <c r="AE154" s="590">
        <f t="shared" si="21"/>
        <v>0.84502</v>
      </c>
      <c r="AF154" s="592">
        <f ca="1" t="shared" si="22"/>
        <v>0.23</v>
      </c>
      <c r="AG154" s="590">
        <f>INT((E109+AE154*(AB154-1.669))*100)/100</f>
        <v>1.68</v>
      </c>
      <c r="AH154" s="593">
        <f ca="1" t="shared" si="17"/>
        <v>0</v>
      </c>
      <c r="AI154" s="590">
        <f t="shared" si="23"/>
        <v>1.56</v>
      </c>
      <c r="AJ154" s="590">
        <f ca="1" t="shared" si="24"/>
        <v>5</v>
      </c>
      <c r="AK154" s="590">
        <f ca="1" t="shared" si="25"/>
        <v>1</v>
      </c>
      <c r="AL154" s="590">
        <f t="shared" si="26"/>
        <v>71.6</v>
      </c>
      <c r="AM154" s="590">
        <f t="shared" si="27"/>
        <v>76.6</v>
      </c>
      <c r="AN154" s="590">
        <f ca="1" t="shared" si="28"/>
        <v>6</v>
      </c>
      <c r="AO154" s="590">
        <f ca="1" t="shared" si="29"/>
        <v>0</v>
      </c>
      <c r="AP154" s="590">
        <f t="shared" si="30"/>
        <v>67.8</v>
      </c>
      <c r="AQ154" s="590">
        <f t="shared" si="31"/>
        <v>61.8</v>
      </c>
    </row>
    <row r="155" spans="1:43" ht="12.75">
      <c r="A155" s="357">
        <v>38</v>
      </c>
      <c r="B155" s="376" t="str">
        <f>IF(E112=1,AB155,"       Genere")</f>
        <v>       Genere</v>
      </c>
      <c r="C155" s="377" t="str">
        <f>IF(E112=1,AM155,"    Gener")</f>
        <v>    Gener</v>
      </c>
      <c r="D155" s="377" t="str">
        <f>IF(E112=1,AI155,"    Gener")</f>
        <v>    Gener</v>
      </c>
      <c r="E155" s="377" t="str">
        <f>IF(E112=1,AQ155,"    Gener")</f>
        <v>    Gener</v>
      </c>
      <c r="Z155" s="592">
        <f ca="1" t="shared" si="18"/>
        <v>0.18</v>
      </c>
      <c r="AA155" s="593">
        <f ca="1" t="shared" si="19"/>
        <v>1</v>
      </c>
      <c r="AB155" s="590">
        <f>IF(AA155=0,E108-Z155,E108+Z155)</f>
        <v>1.8499999999999999</v>
      </c>
      <c r="AC155" s="593">
        <f ca="1" t="shared" si="16"/>
        <v>0</v>
      </c>
      <c r="AD155" s="592">
        <f ca="1" t="shared" si="20"/>
        <v>0.03</v>
      </c>
      <c r="AE155" s="590">
        <f t="shared" si="21"/>
        <v>0.8990999999999999</v>
      </c>
      <c r="AF155" s="592">
        <f ca="1" t="shared" si="22"/>
        <v>0.12</v>
      </c>
      <c r="AG155" s="590">
        <f>INT((E109+AE155*(AB155-1.669))*100)/100</f>
        <v>1.84</v>
      </c>
      <c r="AH155" s="593">
        <f ca="1" t="shared" si="17"/>
        <v>1</v>
      </c>
      <c r="AI155" s="590">
        <f t="shared" si="23"/>
        <v>1.78</v>
      </c>
      <c r="AJ155" s="590">
        <f ca="1" t="shared" si="24"/>
        <v>18</v>
      </c>
      <c r="AK155" s="590">
        <f ca="1" t="shared" si="25"/>
        <v>0</v>
      </c>
      <c r="AL155" s="590">
        <f t="shared" si="26"/>
        <v>81.2</v>
      </c>
      <c r="AM155" s="590">
        <f t="shared" si="27"/>
        <v>63.2</v>
      </c>
      <c r="AN155" s="590">
        <f ca="1" t="shared" si="28"/>
        <v>10</v>
      </c>
      <c r="AO155" s="590">
        <f ca="1" t="shared" si="29"/>
        <v>0</v>
      </c>
      <c r="AP155" s="590">
        <f t="shared" si="30"/>
        <v>79.5</v>
      </c>
      <c r="AQ155" s="590">
        <f t="shared" si="31"/>
        <v>69.5</v>
      </c>
    </row>
    <row r="156" spans="1:43" ht="12.75">
      <c r="A156" s="357">
        <v>39</v>
      </c>
      <c r="B156" s="376" t="str">
        <f>IF(E112=1,AB156,"       Genere")</f>
        <v>       Genere</v>
      </c>
      <c r="C156" s="377" t="str">
        <f>IF(E112=1,AM156,"    Gener")</f>
        <v>    Gener</v>
      </c>
      <c r="D156" s="377" t="str">
        <f>IF(E112=1,AI156,"    Gener")</f>
        <v>    Gener</v>
      </c>
      <c r="E156" s="377" t="str">
        <f>IF(E112=1,AQ156,"    Gener")</f>
        <v>    Gener</v>
      </c>
      <c r="Z156" s="592">
        <f ca="1" t="shared" si="18"/>
        <v>0.04</v>
      </c>
      <c r="AA156" s="593">
        <f ca="1" t="shared" si="19"/>
        <v>1</v>
      </c>
      <c r="AB156" s="590">
        <f>IF(AA156=0,E108-Z156,E108+Z156)</f>
        <v>1.71</v>
      </c>
      <c r="AC156" s="593">
        <f ca="1" t="shared" si="16"/>
        <v>0</v>
      </c>
      <c r="AD156" s="592">
        <f ca="1" t="shared" si="20"/>
        <v>0.02</v>
      </c>
      <c r="AE156" s="590">
        <f t="shared" si="21"/>
        <v>0.84816</v>
      </c>
      <c r="AF156" s="592">
        <f ca="1" t="shared" si="22"/>
        <v>0.16</v>
      </c>
      <c r="AG156" s="590">
        <f>INT((E109+AE156*(AB156-1.669))*100)/100</f>
        <v>1.71</v>
      </c>
      <c r="AH156" s="593">
        <f ca="1" t="shared" si="17"/>
        <v>0</v>
      </c>
      <c r="AI156" s="590">
        <f t="shared" si="23"/>
        <v>1.63</v>
      </c>
      <c r="AJ156" s="590">
        <f ca="1" t="shared" si="24"/>
        <v>15</v>
      </c>
      <c r="AK156" s="590">
        <f ca="1" t="shared" si="25"/>
        <v>1</v>
      </c>
      <c r="AL156" s="590">
        <f t="shared" si="26"/>
        <v>73.7</v>
      </c>
      <c r="AM156" s="590">
        <f t="shared" si="27"/>
        <v>88.7</v>
      </c>
      <c r="AN156" s="590">
        <f ca="1" t="shared" si="28"/>
        <v>19</v>
      </c>
      <c r="AO156" s="590">
        <f ca="1" t="shared" si="29"/>
        <v>0</v>
      </c>
      <c r="AP156" s="590">
        <f t="shared" si="30"/>
        <v>71.5</v>
      </c>
      <c r="AQ156" s="590">
        <f t="shared" si="31"/>
        <v>52.5</v>
      </c>
    </row>
    <row r="157" spans="1:43" ht="12.75">
      <c r="A157" s="357">
        <v>40</v>
      </c>
      <c r="B157" s="376" t="str">
        <f>IF(E112=1,AB157,"       Genere")</f>
        <v>       Genere</v>
      </c>
      <c r="C157" s="377" t="str">
        <f>IF(E112=1,AM157,"    Gener")</f>
        <v>    Gener</v>
      </c>
      <c r="D157" s="377" t="str">
        <f>IF(E112=1,AI157,"    Gener")</f>
        <v>    Gener</v>
      </c>
      <c r="E157" s="377" t="str">
        <f>IF(E112=1,AQ157,"    Gener")</f>
        <v>    Gener</v>
      </c>
      <c r="Z157" s="592">
        <f ca="1" t="shared" si="18"/>
        <v>0</v>
      </c>
      <c r="AA157" s="593">
        <f ca="1" t="shared" si="19"/>
        <v>0</v>
      </c>
      <c r="AB157" s="590">
        <f>IF(AA157=0,E108-Z157,E108+Z157)</f>
        <v>1.67</v>
      </c>
      <c r="AC157" s="593">
        <f ca="1" t="shared" si="16"/>
        <v>0</v>
      </c>
      <c r="AD157" s="592">
        <f ca="1" t="shared" si="20"/>
        <v>0.03</v>
      </c>
      <c r="AE157" s="590">
        <f t="shared" si="21"/>
        <v>0.8116199999999999</v>
      </c>
      <c r="AF157" s="592">
        <f ca="1" t="shared" si="22"/>
        <v>0.1</v>
      </c>
      <c r="AG157" s="590">
        <f>INT((E109+AE157*(AB157-1.669))*100)/100</f>
        <v>1.68</v>
      </c>
      <c r="AH157" s="593">
        <f ca="1" t="shared" si="17"/>
        <v>1</v>
      </c>
      <c r="AI157" s="590">
        <f t="shared" si="23"/>
        <v>1.72</v>
      </c>
      <c r="AJ157" s="590">
        <f ca="1" t="shared" si="24"/>
        <v>14</v>
      </c>
      <c r="AK157" s="590">
        <f ca="1" t="shared" si="25"/>
        <v>0</v>
      </c>
      <c r="AL157" s="590">
        <f t="shared" si="26"/>
        <v>71.6</v>
      </c>
      <c r="AM157" s="590">
        <f t="shared" si="27"/>
        <v>57.599999999999994</v>
      </c>
      <c r="AN157" s="590">
        <f ca="1" t="shared" si="28"/>
        <v>4</v>
      </c>
      <c r="AO157" s="590">
        <f ca="1" t="shared" si="29"/>
        <v>0</v>
      </c>
      <c r="AP157" s="590">
        <f t="shared" si="30"/>
        <v>76.3</v>
      </c>
      <c r="AQ157" s="590">
        <f t="shared" si="31"/>
        <v>72.3</v>
      </c>
    </row>
    <row r="158" spans="1:43" ht="12.75">
      <c r="A158" s="357">
        <v>41</v>
      </c>
      <c r="B158" s="376" t="str">
        <f>IF(E112=1,AB158,"       Genere")</f>
        <v>       Genere</v>
      </c>
      <c r="C158" s="377" t="str">
        <f>IF(E112=1,AM158,"    Gener")</f>
        <v>    Gener</v>
      </c>
      <c r="D158" s="377" t="str">
        <f>IF(E112=1,AI158,"    Gener")</f>
        <v>    Gener</v>
      </c>
      <c r="E158" s="377" t="str">
        <f>IF(E112=1,AQ158,"    Gener")</f>
        <v>    Gener</v>
      </c>
      <c r="Z158" s="592">
        <f ca="1" t="shared" si="18"/>
        <v>0.03</v>
      </c>
      <c r="AA158" s="593">
        <f ca="1" t="shared" si="19"/>
        <v>1</v>
      </c>
      <c r="AB158" s="590">
        <f>IF(AA158=0,E108-Z158,E108+Z158)</f>
        <v>1.7</v>
      </c>
      <c r="AC158" s="593">
        <f ca="1" t="shared" si="16"/>
        <v>0</v>
      </c>
      <c r="AD158" s="592">
        <f ca="1" t="shared" si="20"/>
        <v>0.01</v>
      </c>
      <c r="AE158" s="590">
        <f t="shared" si="21"/>
        <v>0.8602</v>
      </c>
      <c r="AF158" s="592">
        <f ca="1" t="shared" si="22"/>
        <v>0.1</v>
      </c>
      <c r="AG158" s="590">
        <f>INT((E109+AE158*(AB158-1.669))*100)/100</f>
        <v>1.7</v>
      </c>
      <c r="AH158" s="593">
        <f ca="1" t="shared" si="17"/>
        <v>0</v>
      </c>
      <c r="AI158" s="590">
        <f t="shared" si="23"/>
        <v>1.65</v>
      </c>
      <c r="AJ158" s="590">
        <f ca="1" t="shared" si="24"/>
        <v>12</v>
      </c>
      <c r="AK158" s="590">
        <f ca="1" t="shared" si="25"/>
        <v>1</v>
      </c>
      <c r="AL158" s="590">
        <f t="shared" si="26"/>
        <v>73.2</v>
      </c>
      <c r="AM158" s="590">
        <f t="shared" si="27"/>
        <v>85.2</v>
      </c>
      <c r="AN158" s="590">
        <f ca="1" t="shared" si="28"/>
        <v>14</v>
      </c>
      <c r="AO158" s="590">
        <f ca="1" t="shared" si="29"/>
        <v>1</v>
      </c>
      <c r="AP158" s="590">
        <f t="shared" si="30"/>
        <v>72.6</v>
      </c>
      <c r="AQ158" s="590">
        <f t="shared" si="31"/>
        <v>86.6</v>
      </c>
    </row>
    <row r="159" spans="1:43" ht="12.75">
      <c r="A159" s="357">
        <v>42</v>
      </c>
      <c r="B159" s="376" t="str">
        <f>IF(E112=1,AB159,"       Genere")</f>
        <v>       Genere</v>
      </c>
      <c r="C159" s="377" t="str">
        <f>IF(E112=1,AM159,"    Gener")</f>
        <v>    Gener</v>
      </c>
      <c r="D159" s="377" t="str">
        <f>IF(E112=1,AI159,"    Gener")</f>
        <v>    Gener</v>
      </c>
      <c r="E159" s="377" t="str">
        <f>IF(E112=1,AQ159,"    Gener")</f>
        <v>    Gener</v>
      </c>
      <c r="Z159" s="592">
        <f ca="1" t="shared" si="18"/>
        <v>0.18</v>
      </c>
      <c r="AA159" s="593">
        <f ca="1" t="shared" si="19"/>
        <v>0</v>
      </c>
      <c r="AB159" s="590">
        <f>IF(AA159=0,E108-Z159,E108+Z159)</f>
        <v>1.49</v>
      </c>
      <c r="AC159" s="593">
        <f ca="1" t="shared" si="16"/>
        <v>1</v>
      </c>
      <c r="AD159" s="592">
        <f ca="1" t="shared" si="20"/>
        <v>0.03</v>
      </c>
      <c r="AE159" s="590">
        <f t="shared" si="21"/>
        <v>0.81354</v>
      </c>
      <c r="AF159" s="592">
        <f ca="1" t="shared" si="22"/>
        <v>0.09</v>
      </c>
      <c r="AG159" s="590">
        <f>INT((E109+AE159*(AB159-1.669))*100)/100</f>
        <v>1.53</v>
      </c>
      <c r="AH159" s="593">
        <f ca="1" t="shared" si="17"/>
        <v>0</v>
      </c>
      <c r="AI159" s="590">
        <f t="shared" si="23"/>
        <v>1.57</v>
      </c>
      <c r="AJ159" s="590">
        <f ca="1" t="shared" si="24"/>
        <v>11</v>
      </c>
      <c r="AK159" s="590">
        <f ca="1" t="shared" si="25"/>
        <v>1</v>
      </c>
      <c r="AL159" s="590">
        <f t="shared" si="26"/>
        <v>62.1</v>
      </c>
      <c r="AM159" s="590">
        <f t="shared" si="27"/>
        <v>73.1</v>
      </c>
      <c r="AN159" s="590">
        <f ca="1" t="shared" si="28"/>
        <v>11</v>
      </c>
      <c r="AO159" s="590">
        <f ca="1" t="shared" si="29"/>
        <v>1</v>
      </c>
      <c r="AP159" s="590">
        <f t="shared" si="30"/>
        <v>68.3</v>
      </c>
      <c r="AQ159" s="590">
        <f t="shared" si="31"/>
        <v>79.3</v>
      </c>
    </row>
    <row r="160" spans="1:43" ht="12.75">
      <c r="A160" s="357">
        <v>43</v>
      </c>
      <c r="B160" s="376" t="str">
        <f>IF(E112=1,AB160,"       Genere")</f>
        <v>       Genere</v>
      </c>
      <c r="C160" s="377" t="str">
        <f>IF(E112=1,AM160,"    Gener")</f>
        <v>    Gener</v>
      </c>
      <c r="D160" s="377" t="str">
        <f>IF(E112=1,AI160,"    Gener")</f>
        <v>    Gener</v>
      </c>
      <c r="E160" s="377" t="str">
        <f>IF(E112=1,AQ160,"    Gener")</f>
        <v>    Gener</v>
      </c>
      <c r="Z160" s="592">
        <f ca="1" t="shared" si="18"/>
        <v>0.13</v>
      </c>
      <c r="AA160" s="593">
        <f ca="1" t="shared" si="19"/>
        <v>1</v>
      </c>
      <c r="AB160" s="590">
        <f>IF(AA160=0,E108-Z160,E108+Z160)</f>
        <v>1.7999999999999998</v>
      </c>
      <c r="AC160" s="593">
        <f ca="1" t="shared" si="16"/>
        <v>0</v>
      </c>
      <c r="AD160" s="592">
        <f ca="1" t="shared" si="20"/>
        <v>0.03</v>
      </c>
      <c r="AE160" s="590">
        <f t="shared" si="21"/>
        <v>0.8747999999999999</v>
      </c>
      <c r="AF160" s="592">
        <f ca="1" t="shared" si="22"/>
        <v>0.13</v>
      </c>
      <c r="AG160" s="590">
        <f>INT((E109+AE160*(AB160-1.669))*100)/100</f>
        <v>1.79</v>
      </c>
      <c r="AH160" s="593">
        <f ca="1" t="shared" si="17"/>
        <v>0</v>
      </c>
      <c r="AI160" s="590">
        <f t="shared" si="23"/>
        <v>1.72</v>
      </c>
      <c r="AJ160" s="590">
        <f ca="1" t="shared" si="24"/>
        <v>2</v>
      </c>
      <c r="AK160" s="590">
        <f ca="1" t="shared" si="25"/>
        <v>1</v>
      </c>
      <c r="AL160" s="590">
        <f t="shared" si="26"/>
        <v>78.5</v>
      </c>
      <c r="AM160" s="590">
        <f t="shared" si="27"/>
        <v>80.5</v>
      </c>
      <c r="AN160" s="590">
        <f ca="1" t="shared" si="28"/>
        <v>7</v>
      </c>
      <c r="AO160" s="590">
        <f ca="1" t="shared" si="29"/>
        <v>1</v>
      </c>
      <c r="AP160" s="590">
        <f t="shared" si="30"/>
        <v>76.3</v>
      </c>
      <c r="AQ160" s="590">
        <f t="shared" si="31"/>
        <v>83.3</v>
      </c>
    </row>
    <row r="161" spans="1:43" ht="12.75">
      <c r="A161" s="357">
        <v>44</v>
      </c>
      <c r="B161" s="376" t="str">
        <f>IF(E112=1,AB161,"       Genere")</f>
        <v>       Genere</v>
      </c>
      <c r="C161" s="377" t="str">
        <f>IF(E112=1,AM161,"    Gener")</f>
        <v>    Gener</v>
      </c>
      <c r="D161" s="377" t="str">
        <f>IF(E112=1,AI161,"    Gener")</f>
        <v>    Gener</v>
      </c>
      <c r="E161" s="377" t="str">
        <f>IF(E112=1,AQ161,"    Gener")</f>
        <v>    Gener</v>
      </c>
      <c r="Z161" s="592">
        <f ca="1" t="shared" si="18"/>
        <v>0.17</v>
      </c>
      <c r="AA161" s="593">
        <f ca="1" t="shared" si="19"/>
        <v>0</v>
      </c>
      <c r="AB161" s="590">
        <f>IF(AA161=0,E108-Z161,E108+Z161)</f>
        <v>1.5</v>
      </c>
      <c r="AC161" s="593">
        <f ca="1" t="shared" si="16"/>
        <v>1</v>
      </c>
      <c r="AD161" s="592">
        <f ca="1" t="shared" si="20"/>
        <v>0.01</v>
      </c>
      <c r="AE161" s="590">
        <f t="shared" si="21"/>
        <v>0.789</v>
      </c>
      <c r="AF161" s="592">
        <f ca="1" t="shared" si="22"/>
        <v>0.21</v>
      </c>
      <c r="AG161" s="590">
        <f>INT((E109+AE161*(AB161-1.669))*100)/100</f>
        <v>1.54</v>
      </c>
      <c r="AH161" s="593">
        <f ca="1" t="shared" si="17"/>
        <v>1</v>
      </c>
      <c r="AI161" s="590">
        <f t="shared" si="23"/>
        <v>1.64</v>
      </c>
      <c r="AJ161" s="590">
        <f ca="1" t="shared" si="24"/>
        <v>3</v>
      </c>
      <c r="AK161" s="590">
        <f ca="1" t="shared" si="25"/>
        <v>1</v>
      </c>
      <c r="AL161" s="590">
        <f t="shared" si="26"/>
        <v>62.6</v>
      </c>
      <c r="AM161" s="590">
        <f t="shared" si="27"/>
        <v>65.6</v>
      </c>
      <c r="AN161" s="590">
        <f ca="1" t="shared" si="28"/>
        <v>0</v>
      </c>
      <c r="AO161" s="590">
        <f ca="1" t="shared" si="29"/>
        <v>1</v>
      </c>
      <c r="AP161" s="590">
        <f t="shared" si="30"/>
        <v>72</v>
      </c>
      <c r="AQ161" s="590">
        <f t="shared" si="31"/>
        <v>72</v>
      </c>
    </row>
    <row r="162" spans="1:43" ht="12.75">
      <c r="A162" s="357">
        <v>45</v>
      </c>
      <c r="B162" s="376" t="str">
        <f>IF(E112=1,AB162,"       Genere")</f>
        <v>       Genere</v>
      </c>
      <c r="C162" s="377" t="str">
        <f>IF(E112=1,AM162,"    Gener")</f>
        <v>    Gener</v>
      </c>
      <c r="D162" s="377" t="str">
        <f>IF(E112=1,AI162,"    Gener")</f>
        <v>    Gener</v>
      </c>
      <c r="E162" s="377" t="str">
        <f>IF(E112=1,AQ162,"    Gener")</f>
        <v>    Gener</v>
      </c>
      <c r="Z162" s="592">
        <f ca="1" t="shared" si="18"/>
        <v>0.16</v>
      </c>
      <c r="AA162" s="593">
        <f ca="1" t="shared" si="19"/>
        <v>1</v>
      </c>
      <c r="AB162" s="590">
        <f>IF(AA162=0,E108-Z162,E108+Z162)</f>
        <v>1.8299999999999998</v>
      </c>
      <c r="AC162" s="593">
        <f ca="1" t="shared" si="16"/>
        <v>1</v>
      </c>
      <c r="AD162" s="592">
        <f ca="1" t="shared" si="20"/>
        <v>0.01</v>
      </c>
      <c r="AE162" s="590">
        <f t="shared" si="21"/>
        <v>0.96258</v>
      </c>
      <c r="AF162" s="592">
        <f ca="1" t="shared" si="22"/>
        <v>0.17</v>
      </c>
      <c r="AG162" s="590">
        <f>INT((E109+AE162*(AB162-1.669))*100)/100</f>
        <v>1.83</v>
      </c>
      <c r="AH162" s="593">
        <f ca="1" t="shared" si="17"/>
        <v>1</v>
      </c>
      <c r="AI162" s="590">
        <f t="shared" si="23"/>
        <v>1.74</v>
      </c>
      <c r="AJ162" s="590">
        <f ca="1" t="shared" si="24"/>
        <v>14</v>
      </c>
      <c r="AK162" s="590">
        <f ca="1" t="shared" si="25"/>
        <v>0</v>
      </c>
      <c r="AL162" s="590">
        <f t="shared" si="26"/>
        <v>80.1</v>
      </c>
      <c r="AM162" s="590">
        <f t="shared" si="27"/>
        <v>66.1</v>
      </c>
      <c r="AN162" s="590">
        <f ca="1" t="shared" si="28"/>
        <v>17</v>
      </c>
      <c r="AO162" s="590">
        <f ca="1" t="shared" si="29"/>
        <v>1</v>
      </c>
      <c r="AP162" s="590">
        <f t="shared" si="30"/>
        <v>77.3</v>
      </c>
      <c r="AQ162" s="590">
        <f t="shared" si="31"/>
        <v>94.3</v>
      </c>
    </row>
    <row r="163" spans="1:43" ht="12.75">
      <c r="A163" s="357">
        <v>46</v>
      </c>
      <c r="B163" s="376" t="str">
        <f>IF(E112=1,AB163,"       Genere")</f>
        <v>       Genere</v>
      </c>
      <c r="C163" s="377" t="str">
        <f>IF(E112=1,AM163,"    Gener")</f>
        <v>    Gener</v>
      </c>
      <c r="D163" s="377" t="str">
        <f>IF(E112=1,AI163,"    Gener")</f>
        <v>    Gener</v>
      </c>
      <c r="E163" s="377" t="str">
        <f>IF(E112=1,AQ163,"    Gener")</f>
        <v>    Gener</v>
      </c>
      <c r="Z163" s="592">
        <f ca="1" t="shared" si="18"/>
        <v>0.02</v>
      </c>
      <c r="AA163" s="593">
        <f ca="1" t="shared" si="19"/>
        <v>1</v>
      </c>
      <c r="AB163" s="590">
        <f>IF(AA163=0,E108-Z163,E108+Z163)</f>
        <v>1.69</v>
      </c>
      <c r="AC163" s="593">
        <f ca="1" t="shared" si="16"/>
        <v>1</v>
      </c>
      <c r="AD163" s="592">
        <f ca="1" t="shared" si="20"/>
        <v>0.03</v>
      </c>
      <c r="AE163" s="590">
        <f t="shared" si="21"/>
        <v>0.92274</v>
      </c>
      <c r="AF163" s="592">
        <f ca="1" t="shared" si="22"/>
        <v>0.13</v>
      </c>
      <c r="AG163" s="590">
        <f>INT((E109+AE163*(AB163-1.669))*100)/100</f>
        <v>1.69</v>
      </c>
      <c r="AH163" s="593">
        <f ca="1" t="shared" si="17"/>
        <v>0</v>
      </c>
      <c r="AI163" s="590">
        <f t="shared" si="23"/>
        <v>1.62</v>
      </c>
      <c r="AJ163" s="590">
        <f ca="1" t="shared" si="24"/>
        <v>6</v>
      </c>
      <c r="AK163" s="590">
        <f ca="1" t="shared" si="25"/>
        <v>0</v>
      </c>
      <c r="AL163" s="590">
        <f t="shared" si="26"/>
        <v>72.7</v>
      </c>
      <c r="AM163" s="590">
        <f t="shared" si="27"/>
        <v>66.7</v>
      </c>
      <c r="AN163" s="590">
        <f ca="1" t="shared" si="28"/>
        <v>8</v>
      </c>
      <c r="AO163" s="590">
        <f ca="1" t="shared" si="29"/>
        <v>1</v>
      </c>
      <c r="AP163" s="590">
        <f t="shared" si="30"/>
        <v>71</v>
      </c>
      <c r="AQ163" s="590">
        <f t="shared" si="31"/>
        <v>79</v>
      </c>
    </row>
    <row r="164" spans="1:43" ht="12.75">
      <c r="A164" s="357">
        <v>47</v>
      </c>
      <c r="B164" s="376" t="str">
        <f>IF(E112=1,AB164,"       Genere")</f>
        <v>       Genere</v>
      </c>
      <c r="C164" s="377" t="str">
        <f>IF(E112=1,AM164,"    Gener")</f>
        <v>    Gener</v>
      </c>
      <c r="D164" s="377" t="str">
        <f>IF(E112=1,AI164,"    Gener")</f>
        <v>    Gener</v>
      </c>
      <c r="E164" s="377" t="str">
        <f>IF(E112=1,AQ164,"    Gener")</f>
        <v>    Gener</v>
      </c>
      <c r="Z164" s="592">
        <f ca="1" t="shared" si="18"/>
        <v>0.19</v>
      </c>
      <c r="AA164" s="593">
        <f ca="1" t="shared" si="19"/>
        <v>1</v>
      </c>
      <c r="AB164" s="590">
        <f>IF(AA164=0,E108-Z164,E108+Z164)</f>
        <v>1.8599999999999999</v>
      </c>
      <c r="AC164" s="593">
        <f ca="1" t="shared" si="16"/>
        <v>0</v>
      </c>
      <c r="AD164" s="592">
        <f ca="1" t="shared" si="20"/>
        <v>0.02</v>
      </c>
      <c r="AE164" s="590">
        <f t="shared" si="21"/>
        <v>0.9225599999999999</v>
      </c>
      <c r="AF164" s="592">
        <f ca="1" t="shared" si="22"/>
        <v>0.15</v>
      </c>
      <c r="AG164" s="590">
        <f>INT((E109+AE164*(AB164-1.669))*100)/100</f>
        <v>1.85</v>
      </c>
      <c r="AH164" s="593">
        <f ca="1" t="shared" si="17"/>
        <v>1</v>
      </c>
      <c r="AI164" s="590">
        <f t="shared" si="23"/>
        <v>1.77</v>
      </c>
      <c r="AJ164" s="590">
        <f ca="1" t="shared" si="24"/>
        <v>1</v>
      </c>
      <c r="AK164" s="590">
        <f ca="1" t="shared" si="25"/>
        <v>1</v>
      </c>
      <c r="AL164" s="590">
        <f t="shared" si="26"/>
        <v>81.7</v>
      </c>
      <c r="AM164" s="590">
        <f t="shared" si="27"/>
        <v>82.7</v>
      </c>
      <c r="AN164" s="590">
        <f ca="1" t="shared" si="28"/>
        <v>1</v>
      </c>
      <c r="AO164" s="590">
        <f ca="1" t="shared" si="29"/>
        <v>0</v>
      </c>
      <c r="AP164" s="590">
        <f t="shared" si="30"/>
        <v>78.9</v>
      </c>
      <c r="AQ164" s="590">
        <f t="shared" si="31"/>
        <v>77.9</v>
      </c>
    </row>
    <row r="165" spans="1:43" ht="12.75">
      <c r="A165" s="357">
        <v>48</v>
      </c>
      <c r="B165" s="376" t="str">
        <f>IF(E112=1,AB165,"       Genere")</f>
        <v>       Genere</v>
      </c>
      <c r="C165" s="377" t="str">
        <f>IF(E112=1,AM165,"    Gener")</f>
        <v>    Gener</v>
      </c>
      <c r="D165" s="377" t="str">
        <f>IF(E112=1,AI165,"    Gener")</f>
        <v>    Gener</v>
      </c>
      <c r="E165" s="377" t="str">
        <f>IF(E112=1,AQ165,"    Gener")</f>
        <v>    Gener</v>
      </c>
      <c r="Z165" s="592">
        <f ca="1" t="shared" si="18"/>
        <v>0.16</v>
      </c>
      <c r="AA165" s="593">
        <f ca="1" t="shared" si="19"/>
        <v>1</v>
      </c>
      <c r="AB165" s="590">
        <f>IF(AA165=0,E108-Z165,E108+Z165)</f>
        <v>1.8299999999999998</v>
      </c>
      <c r="AC165" s="593">
        <f ca="1" t="shared" si="16"/>
        <v>1</v>
      </c>
      <c r="AD165" s="592">
        <f ca="1" t="shared" si="20"/>
        <v>0.03</v>
      </c>
      <c r="AE165" s="590">
        <f t="shared" si="21"/>
        <v>0.99918</v>
      </c>
      <c r="AF165" s="592">
        <f ca="1" t="shared" si="22"/>
        <v>0.11</v>
      </c>
      <c r="AG165" s="590">
        <f>INT((E109+AE165*(AB165-1.669))*100)/100</f>
        <v>1.84</v>
      </c>
      <c r="AH165" s="593">
        <f ca="1" t="shared" si="17"/>
        <v>1</v>
      </c>
      <c r="AI165" s="590">
        <f t="shared" si="23"/>
        <v>1.78</v>
      </c>
      <c r="AJ165" s="590">
        <f ca="1" t="shared" si="24"/>
        <v>17</v>
      </c>
      <c r="AK165" s="590">
        <f ca="1" t="shared" si="25"/>
        <v>1</v>
      </c>
      <c r="AL165" s="590">
        <f t="shared" si="26"/>
        <v>80.1</v>
      </c>
      <c r="AM165" s="590">
        <f t="shared" si="27"/>
        <v>97.1</v>
      </c>
      <c r="AN165" s="590">
        <f ca="1" t="shared" si="28"/>
        <v>16</v>
      </c>
      <c r="AO165" s="590">
        <f ca="1" t="shared" si="29"/>
        <v>1</v>
      </c>
      <c r="AP165" s="590">
        <f t="shared" si="30"/>
        <v>79.5</v>
      </c>
      <c r="AQ165" s="590">
        <f t="shared" si="31"/>
        <v>95.5</v>
      </c>
    </row>
    <row r="166" spans="1:43" ht="12.75">
      <c r="A166" s="357">
        <v>49</v>
      </c>
      <c r="B166" s="376" t="str">
        <f>IF(E112=1,AB166,"       Genere")</f>
        <v>       Genere</v>
      </c>
      <c r="C166" s="377" t="str">
        <f>IF(E112=1,AM166,"    Gener")</f>
        <v>    Gener</v>
      </c>
      <c r="D166" s="377" t="str">
        <f>IF(E112=1,AI166,"    Gener")</f>
        <v>    Gener</v>
      </c>
      <c r="E166" s="377" t="str">
        <f>IF(E112=1,AQ166,"    Gener")</f>
        <v>    Gener</v>
      </c>
      <c r="Z166" s="592">
        <f ca="1" t="shared" si="18"/>
        <v>0.17</v>
      </c>
      <c r="AA166" s="593">
        <f ca="1" t="shared" si="19"/>
        <v>1</v>
      </c>
      <c r="AB166" s="590">
        <f>IF(AA166=0,E108-Z166,E108+Z166)</f>
        <v>1.8399999999999999</v>
      </c>
      <c r="AC166" s="593">
        <f ca="1" t="shared" si="16"/>
        <v>0</v>
      </c>
      <c r="AD166" s="592">
        <f ca="1" t="shared" si="20"/>
        <v>0.03</v>
      </c>
      <c r="AE166" s="590">
        <f t="shared" si="21"/>
        <v>0.8942399999999999</v>
      </c>
      <c r="AF166" s="592">
        <f ca="1" t="shared" si="22"/>
        <v>0.24</v>
      </c>
      <c r="AG166" s="590">
        <f>INT((E109+AE166*(AB166-1.669))*100)/100</f>
        <v>1.83</v>
      </c>
      <c r="AH166" s="593">
        <f ca="1" t="shared" si="17"/>
        <v>0</v>
      </c>
      <c r="AI166" s="590">
        <f t="shared" si="23"/>
        <v>1.71</v>
      </c>
      <c r="AJ166" s="590">
        <f ca="1" t="shared" si="24"/>
        <v>2</v>
      </c>
      <c r="AK166" s="590">
        <f ca="1" t="shared" si="25"/>
        <v>0</v>
      </c>
      <c r="AL166" s="590">
        <f t="shared" si="26"/>
        <v>80.6</v>
      </c>
      <c r="AM166" s="590">
        <f t="shared" si="27"/>
        <v>78.6</v>
      </c>
      <c r="AN166" s="590">
        <f ca="1" t="shared" si="28"/>
        <v>11</v>
      </c>
      <c r="AO166" s="590">
        <f ca="1" t="shared" si="29"/>
        <v>0</v>
      </c>
      <c r="AP166" s="590">
        <f t="shared" si="30"/>
        <v>75.7</v>
      </c>
      <c r="AQ166" s="590">
        <f t="shared" si="31"/>
        <v>64.7</v>
      </c>
    </row>
    <row r="167" spans="1:43" ht="12.75">
      <c r="A167" s="357">
        <v>50</v>
      </c>
      <c r="B167" s="376" t="str">
        <f>IF(E112=1,AB167,"       Genere")</f>
        <v>       Genere</v>
      </c>
      <c r="C167" s="377" t="str">
        <f>IF(E112=1,AM167,"    Gener")</f>
        <v>    Gener</v>
      </c>
      <c r="D167" s="377" t="str">
        <f>IF(E112=1,AI167,"    Gener")</f>
        <v>    Gener</v>
      </c>
      <c r="E167" s="377" t="str">
        <f>IF(E112=1,AQ167,"    Gener")</f>
        <v>    Gener</v>
      </c>
      <c r="Z167" s="592">
        <f ca="1" t="shared" si="18"/>
        <v>0.22</v>
      </c>
      <c r="AA167" s="593">
        <f ca="1" t="shared" si="19"/>
        <v>1</v>
      </c>
      <c r="AB167" s="590">
        <f>IF(AA167=0,E108-Z167,E108+Z167)</f>
        <v>1.89</v>
      </c>
      <c r="AC167" s="593">
        <f ca="1" t="shared" si="16"/>
        <v>1</v>
      </c>
      <c r="AD167" s="592">
        <f ca="1" t="shared" si="20"/>
        <v>0.03</v>
      </c>
      <c r="AE167" s="590">
        <f t="shared" si="21"/>
        <v>1.03194</v>
      </c>
      <c r="AF167" s="592">
        <f ca="1" t="shared" si="22"/>
        <v>0.2</v>
      </c>
      <c r="AG167" s="590">
        <f>INT((E109+AE167*(AB167-1.669))*100)/100</f>
        <v>1.9</v>
      </c>
      <c r="AH167" s="593">
        <f ca="1" t="shared" si="17"/>
        <v>1</v>
      </c>
      <c r="AI167" s="590">
        <f t="shared" si="23"/>
        <v>1.8</v>
      </c>
      <c r="AJ167" s="590">
        <f ca="1" t="shared" si="24"/>
        <v>7</v>
      </c>
      <c r="AK167" s="590">
        <f ca="1" t="shared" si="25"/>
        <v>0</v>
      </c>
      <c r="AL167" s="590">
        <f t="shared" si="26"/>
        <v>83.3</v>
      </c>
      <c r="AM167" s="590">
        <f t="shared" si="27"/>
        <v>76.3</v>
      </c>
      <c r="AN167" s="590">
        <f ca="1" t="shared" si="28"/>
        <v>1</v>
      </c>
      <c r="AO167" s="590">
        <f ca="1" t="shared" si="29"/>
        <v>0</v>
      </c>
      <c r="AP167" s="590">
        <f t="shared" si="30"/>
        <v>80.5</v>
      </c>
      <c r="AQ167" s="590">
        <f t="shared" si="31"/>
        <v>79.5</v>
      </c>
    </row>
    <row r="168" spans="1:43" ht="12.75">
      <c r="A168" s="357">
        <v>51</v>
      </c>
      <c r="B168" s="376" t="str">
        <f>IF(E112=1,AB168,"       Genere")</f>
        <v>       Genere</v>
      </c>
      <c r="C168" s="377" t="str">
        <f>IF(E112=1,AM168,"    Gener")</f>
        <v>    Gener</v>
      </c>
      <c r="D168" s="377" t="str">
        <f>IF(E112=1,AI168,"    Gener")</f>
        <v>    Gener</v>
      </c>
      <c r="E168" s="377" t="str">
        <f>IF(E112=1,AQ168,"    Gener")</f>
        <v>    Gener</v>
      </c>
      <c r="Z168" s="592">
        <f ca="1" t="shared" si="18"/>
        <v>0.07</v>
      </c>
      <c r="AA168" s="593">
        <f ca="1" t="shared" si="19"/>
        <v>0</v>
      </c>
      <c r="AB168" s="590">
        <f>IF(AA168=0,E108-Z168,E108+Z168)</f>
        <v>1.5999999999999999</v>
      </c>
      <c r="AC168" s="593">
        <f ca="1" t="shared" si="16"/>
        <v>1</v>
      </c>
      <c r="AD168" s="592">
        <f ca="1" t="shared" si="20"/>
        <v>0.02</v>
      </c>
      <c r="AE168" s="590">
        <f t="shared" si="21"/>
        <v>0.8576</v>
      </c>
      <c r="AF168" s="592">
        <f ca="1" t="shared" si="22"/>
        <v>0.05</v>
      </c>
      <c r="AG168" s="590">
        <f>INT((E109+AE168*(AB168-1.669))*100)/100</f>
        <v>1.62</v>
      </c>
      <c r="AH168" s="593">
        <f ca="1" t="shared" si="17"/>
        <v>1</v>
      </c>
      <c r="AI168" s="590">
        <f t="shared" si="23"/>
        <v>1.64</v>
      </c>
      <c r="AJ168" s="590">
        <f ca="1" t="shared" si="24"/>
        <v>20</v>
      </c>
      <c r="AK168" s="590">
        <f ca="1" t="shared" si="25"/>
        <v>1</v>
      </c>
      <c r="AL168" s="590">
        <f t="shared" si="26"/>
        <v>67.9</v>
      </c>
      <c r="AM168" s="590">
        <f t="shared" si="27"/>
        <v>87.9</v>
      </c>
      <c r="AN168" s="590">
        <f ca="1" t="shared" si="28"/>
        <v>4</v>
      </c>
      <c r="AO168" s="590">
        <f ca="1" t="shared" si="29"/>
        <v>0</v>
      </c>
      <c r="AP168" s="590">
        <f t="shared" si="30"/>
        <v>72</v>
      </c>
      <c r="AQ168" s="590">
        <f t="shared" si="31"/>
        <v>68</v>
      </c>
    </row>
    <row r="169" spans="1:43" ht="12.75">
      <c r="A169" s="357">
        <v>52</v>
      </c>
      <c r="B169" s="376" t="str">
        <f>IF(E112=1,AB169,"       Genere")</f>
        <v>       Genere</v>
      </c>
      <c r="C169" s="377" t="str">
        <f>IF(E112=1,AM169,"    Gener")</f>
        <v>    Gener</v>
      </c>
      <c r="D169" s="377" t="str">
        <f>IF(E112=1,AI169,"    Gener")</f>
        <v>    Gener</v>
      </c>
      <c r="E169" s="377" t="str">
        <f>IF(E112=1,AQ169,"    Gener")</f>
        <v>    Gener</v>
      </c>
      <c r="Z169" s="592">
        <f ca="1" t="shared" si="18"/>
        <v>0.2</v>
      </c>
      <c r="AA169" s="593">
        <f ca="1" t="shared" si="19"/>
        <v>1</v>
      </c>
      <c r="AB169" s="590">
        <f>IF(AA169=0,E108-Z169,E108+Z169)</f>
        <v>1.8699999999999999</v>
      </c>
      <c r="AC169" s="593">
        <f ca="1" t="shared" si="16"/>
        <v>0</v>
      </c>
      <c r="AD169" s="592">
        <f ca="1" t="shared" si="20"/>
        <v>0.03</v>
      </c>
      <c r="AE169" s="590">
        <f t="shared" si="21"/>
        <v>0.90882</v>
      </c>
      <c r="AF169" s="592">
        <f ca="1" t="shared" si="22"/>
        <v>0.01</v>
      </c>
      <c r="AG169" s="590">
        <f>INT((E109+AE169*(AB169-1.669))*100)/100</f>
        <v>1.86</v>
      </c>
      <c r="AH169" s="593">
        <f ca="1" t="shared" si="17"/>
        <v>0</v>
      </c>
      <c r="AI169" s="590">
        <f t="shared" si="23"/>
        <v>1.85</v>
      </c>
      <c r="AJ169" s="590">
        <f ca="1" t="shared" si="24"/>
        <v>0</v>
      </c>
      <c r="AK169" s="590">
        <f ca="1" t="shared" si="25"/>
        <v>1</v>
      </c>
      <c r="AL169" s="590">
        <f t="shared" si="26"/>
        <v>82.2</v>
      </c>
      <c r="AM169" s="590">
        <f t="shared" si="27"/>
        <v>82.2</v>
      </c>
      <c r="AN169" s="590">
        <f ca="1" t="shared" si="28"/>
        <v>14</v>
      </c>
      <c r="AO169" s="590">
        <f ca="1" t="shared" si="29"/>
        <v>0</v>
      </c>
      <c r="AP169" s="590">
        <f t="shared" si="30"/>
        <v>83.2</v>
      </c>
      <c r="AQ169" s="590">
        <f t="shared" si="31"/>
        <v>69.2</v>
      </c>
    </row>
    <row r="170" spans="1:43" ht="12.75">
      <c r="A170" s="357">
        <v>53</v>
      </c>
      <c r="B170" s="376" t="str">
        <f>IF(E112=1,AB170,"       Genere")</f>
        <v>       Genere</v>
      </c>
      <c r="C170" s="377" t="str">
        <f>IF(E112=1,AM170,"    Gener")</f>
        <v>    Gener</v>
      </c>
      <c r="D170" s="377" t="str">
        <f>IF(E112=1,AI170,"    Gener")</f>
        <v>    Gener</v>
      </c>
      <c r="E170" s="377" t="str">
        <f>IF(E112=1,AQ170,"    Gener")</f>
        <v>    Gener</v>
      </c>
      <c r="Z170" s="592">
        <f ca="1" t="shared" si="18"/>
        <v>0.16</v>
      </c>
      <c r="AA170" s="593">
        <f ca="1" t="shared" si="19"/>
        <v>1</v>
      </c>
      <c r="AB170" s="590">
        <f>IF(AA170=0,E108-Z170,E108+Z170)</f>
        <v>1.8299999999999998</v>
      </c>
      <c r="AC170" s="593">
        <f ca="1" t="shared" si="16"/>
        <v>1</v>
      </c>
      <c r="AD170" s="592">
        <f ca="1" t="shared" si="20"/>
        <v>0.02</v>
      </c>
      <c r="AE170" s="590">
        <f t="shared" si="21"/>
        <v>0.98088</v>
      </c>
      <c r="AF170" s="592">
        <f ca="1" t="shared" si="22"/>
        <v>0.24</v>
      </c>
      <c r="AG170" s="590">
        <f>INT((E109+AE170*(AB170-1.669))*100)/100</f>
        <v>1.83</v>
      </c>
      <c r="AH170" s="593">
        <f ca="1" t="shared" si="17"/>
        <v>1</v>
      </c>
      <c r="AI170" s="590">
        <f t="shared" si="23"/>
        <v>1.71</v>
      </c>
      <c r="AJ170" s="590">
        <f ca="1" t="shared" si="24"/>
        <v>6</v>
      </c>
      <c r="AK170" s="590">
        <f ca="1" t="shared" si="25"/>
        <v>1</v>
      </c>
      <c r="AL170" s="590">
        <f t="shared" si="26"/>
        <v>80.1</v>
      </c>
      <c r="AM170" s="590">
        <f t="shared" si="27"/>
        <v>86.1</v>
      </c>
      <c r="AN170" s="590">
        <f ca="1" t="shared" si="28"/>
        <v>18</v>
      </c>
      <c r="AO170" s="590">
        <f ca="1" t="shared" si="29"/>
        <v>1</v>
      </c>
      <c r="AP170" s="590">
        <f t="shared" si="30"/>
        <v>75.7</v>
      </c>
      <c r="AQ170" s="590">
        <f t="shared" si="31"/>
        <v>93.7</v>
      </c>
    </row>
    <row r="171" spans="1:43" ht="12.75">
      <c r="A171" s="357">
        <v>54</v>
      </c>
      <c r="B171" s="376" t="str">
        <f>IF(E112=1,AB171,"       Genere")</f>
        <v>       Genere</v>
      </c>
      <c r="C171" s="377" t="str">
        <f>IF(E112=1,AM171,"    Gener")</f>
        <v>    Gener</v>
      </c>
      <c r="D171" s="377" t="str">
        <f>IF(E112=1,AI171,"    Gener")</f>
        <v>    Gener</v>
      </c>
      <c r="E171" s="377" t="str">
        <f>IF(E112=1,AQ171,"    Gener")</f>
        <v>    Gener</v>
      </c>
      <c r="Z171" s="592">
        <f ca="1" t="shared" si="18"/>
        <v>0.08</v>
      </c>
      <c r="AA171" s="593">
        <f ca="1" t="shared" si="19"/>
        <v>0</v>
      </c>
      <c r="AB171" s="590">
        <f>IF(AA171=0,E108-Z171,E108+Z171)</f>
        <v>1.5899999999999999</v>
      </c>
      <c r="AC171" s="593">
        <f ca="1" t="shared" si="16"/>
        <v>0</v>
      </c>
      <c r="AD171" s="592">
        <f ca="1" t="shared" si="20"/>
        <v>0.02</v>
      </c>
      <c r="AE171" s="590">
        <f t="shared" si="21"/>
        <v>0.7886399999999999</v>
      </c>
      <c r="AF171" s="592">
        <f ca="1" t="shared" si="22"/>
        <v>0.24</v>
      </c>
      <c r="AG171" s="590">
        <f>INT((E109+AE171*(AB171-1.669))*100)/100</f>
        <v>1.61</v>
      </c>
      <c r="AH171" s="593">
        <f ca="1" t="shared" si="17"/>
        <v>1</v>
      </c>
      <c r="AI171" s="590">
        <f t="shared" si="23"/>
        <v>1.72</v>
      </c>
      <c r="AJ171" s="590">
        <f ca="1" t="shared" si="24"/>
        <v>14</v>
      </c>
      <c r="AK171" s="590">
        <f ca="1" t="shared" si="25"/>
        <v>1</v>
      </c>
      <c r="AL171" s="590">
        <f t="shared" si="26"/>
        <v>67.4</v>
      </c>
      <c r="AM171" s="590">
        <f t="shared" si="27"/>
        <v>81.4</v>
      </c>
      <c r="AN171" s="590">
        <f ca="1" t="shared" si="28"/>
        <v>6</v>
      </c>
      <c r="AO171" s="590">
        <f ca="1" t="shared" si="29"/>
        <v>1</v>
      </c>
      <c r="AP171" s="590">
        <f t="shared" si="30"/>
        <v>76.3</v>
      </c>
      <c r="AQ171" s="590">
        <f t="shared" si="31"/>
        <v>82.3</v>
      </c>
    </row>
    <row r="172" spans="1:43" ht="12.75">
      <c r="A172" s="357">
        <v>55</v>
      </c>
      <c r="B172" s="376" t="str">
        <f>IF(E112=1,AB172,"       Genere")</f>
        <v>       Genere</v>
      </c>
      <c r="C172" s="377" t="str">
        <f>IF(E112=1,AM172,"    Gener")</f>
        <v>    Gener</v>
      </c>
      <c r="D172" s="377" t="str">
        <f>IF(E112=1,AI172,"    Gener")</f>
        <v>    Gener</v>
      </c>
      <c r="E172" s="377" t="str">
        <f>IF(E112=1,AQ172,"    Gener")</f>
        <v>    Gener</v>
      </c>
      <c r="Z172" s="592">
        <f ca="1" t="shared" si="18"/>
        <v>0.01</v>
      </c>
      <c r="AA172" s="593">
        <f ca="1" t="shared" si="19"/>
        <v>0</v>
      </c>
      <c r="AB172" s="590">
        <f>IF(AA172=0,E108-Z172,E108+Z172)</f>
        <v>1.66</v>
      </c>
      <c r="AC172" s="593">
        <f ca="1" t="shared" si="16"/>
        <v>1</v>
      </c>
      <c r="AD172" s="592">
        <f ca="1" t="shared" si="20"/>
        <v>0.01</v>
      </c>
      <c r="AE172" s="590">
        <f t="shared" si="21"/>
        <v>0.87316</v>
      </c>
      <c r="AF172" s="592">
        <f ca="1" t="shared" si="22"/>
        <v>0.22</v>
      </c>
      <c r="AG172" s="590">
        <f>INT((E109+AE172*(AB172-1.669))*100)/100</f>
        <v>1.67</v>
      </c>
      <c r="AH172" s="593">
        <f ca="1" t="shared" si="17"/>
        <v>1</v>
      </c>
      <c r="AI172" s="590">
        <f t="shared" si="23"/>
        <v>1.77</v>
      </c>
      <c r="AJ172" s="590">
        <f ca="1" t="shared" si="24"/>
        <v>12</v>
      </c>
      <c r="AK172" s="590">
        <f ca="1" t="shared" si="25"/>
        <v>0</v>
      </c>
      <c r="AL172" s="590">
        <f t="shared" si="26"/>
        <v>71.1</v>
      </c>
      <c r="AM172" s="590">
        <f t="shared" si="27"/>
        <v>59.099999999999994</v>
      </c>
      <c r="AN172" s="590">
        <f ca="1" t="shared" si="28"/>
        <v>1</v>
      </c>
      <c r="AO172" s="590">
        <f ca="1" t="shared" si="29"/>
        <v>1</v>
      </c>
      <c r="AP172" s="590">
        <f t="shared" si="30"/>
        <v>78.9</v>
      </c>
      <c r="AQ172" s="590">
        <f t="shared" si="31"/>
        <v>79.9</v>
      </c>
    </row>
    <row r="173" spans="1:43" ht="12.75">
      <c r="A173" s="357">
        <v>56</v>
      </c>
      <c r="B173" s="376" t="str">
        <f>IF(E112=1,AB173,"       Genere")</f>
        <v>       Genere</v>
      </c>
      <c r="C173" s="377" t="str">
        <f>IF(E112=1,AM173,"    Gener")</f>
        <v>    Gener</v>
      </c>
      <c r="D173" s="377" t="str">
        <f>IF(E112=1,AI173,"    Gener")</f>
        <v>    Gener</v>
      </c>
      <c r="E173" s="377" t="str">
        <f>IF(E112=1,AQ173,"    Gener")</f>
        <v>    Gener</v>
      </c>
      <c r="Z173" s="592">
        <f ca="1" t="shared" si="18"/>
        <v>0.12</v>
      </c>
      <c r="AA173" s="593">
        <f ca="1" t="shared" si="19"/>
        <v>0</v>
      </c>
      <c r="AB173" s="590">
        <f>IF(AA173=0,E108-Z173,E108+Z173)</f>
        <v>1.5499999999999998</v>
      </c>
      <c r="AC173" s="593">
        <f ca="1" t="shared" si="16"/>
        <v>1</v>
      </c>
      <c r="AD173" s="592">
        <f ca="1" t="shared" si="20"/>
        <v>0.03</v>
      </c>
      <c r="AE173" s="590">
        <f t="shared" si="21"/>
        <v>0.8462999999999999</v>
      </c>
      <c r="AF173" s="592">
        <f ca="1" t="shared" si="22"/>
        <v>0.06</v>
      </c>
      <c r="AG173" s="590">
        <f>INT((E109+AE173*(AB173-1.669))*100)/100</f>
        <v>1.57</v>
      </c>
      <c r="AH173" s="593">
        <f ca="1" t="shared" si="17"/>
        <v>1</v>
      </c>
      <c r="AI173" s="590">
        <f t="shared" si="23"/>
        <v>1.59</v>
      </c>
      <c r="AJ173" s="590">
        <f ca="1" t="shared" si="24"/>
        <v>15</v>
      </c>
      <c r="AK173" s="590">
        <f ca="1" t="shared" si="25"/>
        <v>1</v>
      </c>
      <c r="AL173" s="590">
        <f t="shared" si="26"/>
        <v>65.2</v>
      </c>
      <c r="AM173" s="590">
        <f t="shared" si="27"/>
        <v>80.2</v>
      </c>
      <c r="AN173" s="590">
        <f ca="1" t="shared" si="28"/>
        <v>8</v>
      </c>
      <c r="AO173" s="590">
        <f ca="1" t="shared" si="29"/>
        <v>0</v>
      </c>
      <c r="AP173" s="590">
        <f t="shared" si="30"/>
        <v>69.4</v>
      </c>
      <c r="AQ173" s="590">
        <f t="shared" si="31"/>
        <v>61.400000000000006</v>
      </c>
    </row>
    <row r="174" spans="1:43" ht="12.75">
      <c r="A174" s="357">
        <v>57</v>
      </c>
      <c r="B174" s="376" t="str">
        <f>IF(E112=1,AB174,"       Genere")</f>
        <v>       Genere</v>
      </c>
      <c r="C174" s="377" t="str">
        <f>IF(E112=1,AM174,"    Gener")</f>
        <v>    Gener</v>
      </c>
      <c r="D174" s="377" t="str">
        <f>IF(E112=1,AI174,"    Gener")</f>
        <v>    Gener</v>
      </c>
      <c r="E174" s="377" t="str">
        <f>IF(E112=1,AQ174,"    Gener")</f>
        <v>    Gener</v>
      </c>
      <c r="Z174" s="592">
        <f ca="1" t="shared" si="18"/>
        <v>0.22</v>
      </c>
      <c r="AA174" s="593">
        <f ca="1" t="shared" si="19"/>
        <v>0</v>
      </c>
      <c r="AB174" s="590">
        <f>IF(AA174=0,E108-Z174,E108+Z174)</f>
        <v>1.45</v>
      </c>
      <c r="AC174" s="593">
        <f ca="1" t="shared" si="16"/>
        <v>0</v>
      </c>
      <c r="AD174" s="592">
        <f ca="1" t="shared" si="20"/>
        <v>0</v>
      </c>
      <c r="AE174" s="590">
        <f t="shared" si="21"/>
        <v>0.7482</v>
      </c>
      <c r="AF174" s="592">
        <f ca="1" t="shared" si="22"/>
        <v>0.09</v>
      </c>
      <c r="AG174" s="590">
        <f>INT((E109+AE174*(AB174-1.669))*100)/100</f>
        <v>1.51</v>
      </c>
      <c r="AH174" s="593">
        <f ca="1" t="shared" si="17"/>
        <v>1</v>
      </c>
      <c r="AI174" s="590">
        <f t="shared" si="23"/>
        <v>1.55</v>
      </c>
      <c r="AJ174" s="590">
        <f ca="1" t="shared" si="24"/>
        <v>16</v>
      </c>
      <c r="AK174" s="590">
        <f ca="1" t="shared" si="25"/>
        <v>1</v>
      </c>
      <c r="AL174" s="590">
        <f t="shared" si="26"/>
        <v>59.9</v>
      </c>
      <c r="AM174" s="590">
        <f t="shared" si="27"/>
        <v>75.9</v>
      </c>
      <c r="AN174" s="590">
        <f ca="1" t="shared" si="28"/>
        <v>16</v>
      </c>
      <c r="AO174" s="590">
        <f ca="1" t="shared" si="29"/>
        <v>1</v>
      </c>
      <c r="AP174" s="590">
        <f t="shared" si="30"/>
        <v>67.2</v>
      </c>
      <c r="AQ174" s="590">
        <f t="shared" si="31"/>
        <v>83.2</v>
      </c>
    </row>
    <row r="175" spans="1:43" ht="12.75">
      <c r="A175" s="357">
        <v>58</v>
      </c>
      <c r="B175" s="376" t="str">
        <f>IF(E112=1,AB175,"       Genere")</f>
        <v>       Genere</v>
      </c>
      <c r="C175" s="377" t="str">
        <f>IF(E112=1,AM175,"    Gener")</f>
        <v>    Gener</v>
      </c>
      <c r="D175" s="377" t="str">
        <f>IF(E112=1,AI175,"    Gener")</f>
        <v>    Gener</v>
      </c>
      <c r="E175" s="377" t="str">
        <f>IF(E112=1,AQ175,"    Gener")</f>
        <v>    Gener</v>
      </c>
      <c r="Z175" s="592">
        <f ca="1" t="shared" si="18"/>
        <v>0.03</v>
      </c>
      <c r="AA175" s="593">
        <f ca="1" t="shared" si="19"/>
        <v>0</v>
      </c>
      <c r="AB175" s="590">
        <f>IF(AA175=0,E108-Z175,E108+Z175)</f>
        <v>1.64</v>
      </c>
      <c r="AC175" s="593">
        <f ca="1" t="shared" si="16"/>
        <v>0</v>
      </c>
      <c r="AD175" s="592">
        <f ca="1" t="shared" si="20"/>
        <v>0.01</v>
      </c>
      <c r="AE175" s="590">
        <f t="shared" si="21"/>
        <v>0.8298399999999999</v>
      </c>
      <c r="AF175" s="592">
        <f ca="1" t="shared" si="22"/>
        <v>0.01</v>
      </c>
      <c r="AG175" s="590">
        <f>INT((E109+AE175*(AB175-1.669))*100)/100</f>
        <v>1.65</v>
      </c>
      <c r="AH175" s="593">
        <f ca="1" t="shared" si="17"/>
        <v>1</v>
      </c>
      <c r="AI175" s="590">
        <f t="shared" si="23"/>
        <v>1.65</v>
      </c>
      <c r="AJ175" s="590">
        <f ca="1" t="shared" si="24"/>
        <v>12</v>
      </c>
      <c r="AK175" s="590">
        <f ca="1" t="shared" si="25"/>
        <v>1</v>
      </c>
      <c r="AL175" s="590">
        <f t="shared" si="26"/>
        <v>70</v>
      </c>
      <c r="AM175" s="590">
        <f t="shared" si="27"/>
        <v>82</v>
      </c>
      <c r="AN175" s="590">
        <f ca="1" t="shared" si="28"/>
        <v>12</v>
      </c>
      <c r="AO175" s="590">
        <f ca="1" t="shared" si="29"/>
        <v>1</v>
      </c>
      <c r="AP175" s="590">
        <f t="shared" si="30"/>
        <v>72.6</v>
      </c>
      <c r="AQ175" s="590">
        <f t="shared" si="31"/>
        <v>84.6</v>
      </c>
    </row>
    <row r="176" spans="1:43" ht="12.75">
      <c r="A176" s="357">
        <v>59</v>
      </c>
      <c r="B176" s="376" t="str">
        <f>IF(E112=1,AB176,"       Genere")</f>
        <v>       Genere</v>
      </c>
      <c r="C176" s="377" t="str">
        <f>IF(E112=1,AM176,"    Gener")</f>
        <v>    Gener</v>
      </c>
      <c r="D176" s="377" t="str">
        <f>IF(E112=1,AI176,"    Gener")</f>
        <v>    Gener</v>
      </c>
      <c r="E176" s="377" t="str">
        <f>IF(E112=1,AQ176,"    Gener")</f>
        <v>    Gener</v>
      </c>
      <c r="Z176" s="592">
        <f ca="1" t="shared" si="18"/>
        <v>0.21</v>
      </c>
      <c r="AA176" s="593">
        <f ca="1" t="shared" si="19"/>
        <v>1</v>
      </c>
      <c r="AB176" s="590">
        <f>IF(AA176=0,E108-Z176,E108+Z176)</f>
        <v>1.88</v>
      </c>
      <c r="AC176" s="593">
        <f ca="1" t="shared" si="16"/>
        <v>0</v>
      </c>
      <c r="AD176" s="592">
        <f ca="1" t="shared" si="20"/>
        <v>0.01</v>
      </c>
      <c r="AE176" s="590">
        <f t="shared" si="21"/>
        <v>0.9512799999999999</v>
      </c>
      <c r="AF176" s="592">
        <f ca="1" t="shared" si="22"/>
        <v>0.15</v>
      </c>
      <c r="AG176" s="590">
        <f>INT((E109+AE176*(AB176-1.669))*100)/100</f>
        <v>1.88</v>
      </c>
      <c r="AH176" s="593">
        <f ca="1" t="shared" si="17"/>
        <v>1</v>
      </c>
      <c r="AI176" s="590">
        <f t="shared" si="23"/>
        <v>1.8</v>
      </c>
      <c r="AJ176" s="590">
        <f ca="1" t="shared" si="24"/>
        <v>4</v>
      </c>
      <c r="AK176" s="590">
        <f ca="1" t="shared" si="25"/>
        <v>0</v>
      </c>
      <c r="AL176" s="590">
        <f t="shared" si="26"/>
        <v>82.8</v>
      </c>
      <c r="AM176" s="590">
        <f t="shared" si="27"/>
        <v>78.8</v>
      </c>
      <c r="AN176" s="590">
        <f ca="1" t="shared" si="28"/>
        <v>14</v>
      </c>
      <c r="AO176" s="590">
        <f ca="1" t="shared" si="29"/>
        <v>0</v>
      </c>
      <c r="AP176" s="590">
        <f t="shared" si="30"/>
        <v>80.5</v>
      </c>
      <c r="AQ176" s="590">
        <f t="shared" si="31"/>
        <v>66.5</v>
      </c>
    </row>
    <row r="177" spans="1:43" ht="12.75">
      <c r="A177" s="357">
        <v>60</v>
      </c>
      <c r="B177" s="376" t="str">
        <f>IF(E112=1,AB177,"       Genere")</f>
        <v>       Genere</v>
      </c>
      <c r="C177" s="377" t="str">
        <f>IF(E112=1,AM177,"    Gener")</f>
        <v>    Gener</v>
      </c>
      <c r="D177" s="377" t="str">
        <f>IF(E112=1,AI177,"    Gener")</f>
        <v>    Gener</v>
      </c>
      <c r="E177" s="377" t="str">
        <f>IF(E112=1,AQ177,"    Gener")</f>
        <v>    Gener</v>
      </c>
      <c r="Z177" s="592">
        <f ca="1" t="shared" si="18"/>
        <v>0.13</v>
      </c>
      <c r="AA177" s="593">
        <f ca="1" t="shared" si="19"/>
        <v>0</v>
      </c>
      <c r="AB177" s="590">
        <f>IF(AA177=0,E108-Z177,E108+Z177)</f>
        <v>1.54</v>
      </c>
      <c r="AC177" s="593">
        <f ca="1" t="shared" si="16"/>
        <v>1</v>
      </c>
      <c r="AD177" s="592">
        <f ca="1" t="shared" si="20"/>
        <v>0.01</v>
      </c>
      <c r="AE177" s="590">
        <f t="shared" si="21"/>
        <v>0.8100400000000001</v>
      </c>
      <c r="AF177" s="592">
        <f ca="1" t="shared" si="22"/>
        <v>0</v>
      </c>
      <c r="AG177" s="590">
        <f>INT((E109+AE177*(AB177-1.669))*100)/100</f>
        <v>1.57</v>
      </c>
      <c r="AH177" s="593">
        <f ca="1" t="shared" si="17"/>
        <v>0</v>
      </c>
      <c r="AI177" s="590">
        <f t="shared" si="23"/>
        <v>1.57</v>
      </c>
      <c r="AJ177" s="590">
        <f ca="1" t="shared" si="24"/>
        <v>6</v>
      </c>
      <c r="AK177" s="590">
        <f ca="1" t="shared" si="25"/>
        <v>0</v>
      </c>
      <c r="AL177" s="590">
        <f t="shared" si="26"/>
        <v>64.7</v>
      </c>
      <c r="AM177" s="590">
        <f t="shared" si="27"/>
        <v>58.7</v>
      </c>
      <c r="AN177" s="590">
        <f ca="1" t="shared" si="28"/>
        <v>14</v>
      </c>
      <c r="AO177" s="590">
        <f ca="1" t="shared" si="29"/>
        <v>0</v>
      </c>
      <c r="AP177" s="590">
        <f t="shared" si="30"/>
        <v>68.3</v>
      </c>
      <c r="AQ177" s="590">
        <f t="shared" si="31"/>
        <v>54.3</v>
      </c>
    </row>
    <row r="178" spans="1:43" ht="12.75">
      <c r="A178" s="357">
        <v>61</v>
      </c>
      <c r="B178" s="376" t="str">
        <f>IF(E112=1,AB178,"       Genere")</f>
        <v>       Genere</v>
      </c>
      <c r="C178" s="377" t="str">
        <f>IF(E112=1,AM178,"    Gener")</f>
        <v>    Gener</v>
      </c>
      <c r="D178" s="377" t="str">
        <f>IF(E112=1,AI178,"    Gener")</f>
        <v>    Gener</v>
      </c>
      <c r="E178" s="377" t="str">
        <f>IF(E112=1,AQ178,"    Gener")</f>
        <v>    Gener</v>
      </c>
      <c r="Z178" s="592">
        <f ca="1" t="shared" si="18"/>
        <v>0.1</v>
      </c>
      <c r="AA178" s="593">
        <f ca="1" t="shared" si="19"/>
        <v>0</v>
      </c>
      <c r="AB178" s="590">
        <f>IF(AA178=0,E108-Z178,E108+Z178)</f>
        <v>1.5699999999999998</v>
      </c>
      <c r="AC178" s="593">
        <f ca="1" t="shared" si="16"/>
        <v>0</v>
      </c>
      <c r="AD178" s="592">
        <f ca="1" t="shared" si="20"/>
        <v>0.04</v>
      </c>
      <c r="AE178" s="590">
        <f t="shared" si="21"/>
        <v>0.74732</v>
      </c>
      <c r="AF178" s="592">
        <f ca="1" t="shared" si="22"/>
        <v>0.17</v>
      </c>
      <c r="AG178" s="590">
        <f>INT((E109+AE178*(AB178-1.669))*100)/100</f>
        <v>1.6</v>
      </c>
      <c r="AH178" s="593">
        <f ca="1" t="shared" si="17"/>
        <v>1</v>
      </c>
      <c r="AI178" s="590">
        <f t="shared" si="23"/>
        <v>1.68</v>
      </c>
      <c r="AJ178" s="590">
        <f ca="1" t="shared" si="24"/>
        <v>8</v>
      </c>
      <c r="AK178" s="590">
        <f ca="1" t="shared" si="25"/>
        <v>0</v>
      </c>
      <c r="AL178" s="590">
        <f t="shared" si="26"/>
        <v>66.3</v>
      </c>
      <c r="AM178" s="590">
        <f t="shared" si="27"/>
        <v>58.3</v>
      </c>
      <c r="AN178" s="590">
        <f ca="1" t="shared" si="28"/>
        <v>18</v>
      </c>
      <c r="AO178" s="590">
        <f ca="1" t="shared" si="29"/>
        <v>0</v>
      </c>
      <c r="AP178" s="590">
        <f t="shared" si="30"/>
        <v>74.1</v>
      </c>
      <c r="AQ178" s="590">
        <f t="shared" si="31"/>
        <v>56.099999999999994</v>
      </c>
    </row>
    <row r="179" spans="1:43" ht="12.75">
      <c r="A179" s="357">
        <v>62</v>
      </c>
      <c r="B179" s="376" t="str">
        <f>IF(E112=1,AB179,"       Genere")</f>
        <v>       Genere</v>
      </c>
      <c r="C179" s="377" t="str">
        <f>IF(E112=1,AM179,"    Gener")</f>
        <v>    Gener</v>
      </c>
      <c r="D179" s="377" t="str">
        <f>IF(E112=1,AI179,"    Gener")</f>
        <v>    Gener</v>
      </c>
      <c r="E179" s="377" t="str">
        <f>IF(E112=1,AQ179,"    Gener")</f>
        <v>    Gener</v>
      </c>
      <c r="Z179" s="592">
        <f ca="1" t="shared" si="18"/>
        <v>0.14</v>
      </c>
      <c r="AA179" s="593">
        <f ca="1" t="shared" si="19"/>
        <v>0</v>
      </c>
      <c r="AB179" s="590">
        <f>IF(AA179=0,E108-Z179,E108+Z179)</f>
        <v>1.5299999999999998</v>
      </c>
      <c r="AC179" s="593">
        <f ca="1" t="shared" si="16"/>
        <v>0</v>
      </c>
      <c r="AD179" s="592">
        <f ca="1" t="shared" si="20"/>
        <v>0</v>
      </c>
      <c r="AE179" s="590">
        <f t="shared" si="21"/>
        <v>0.78948</v>
      </c>
      <c r="AF179" s="592">
        <f ca="1" t="shared" si="22"/>
        <v>0.1</v>
      </c>
      <c r="AG179" s="590">
        <f>INT((E109+AE179*(AB179-1.669))*100)/100</f>
        <v>1.57</v>
      </c>
      <c r="AH179" s="593">
        <f ca="1" t="shared" si="17"/>
        <v>1</v>
      </c>
      <c r="AI179" s="590">
        <f t="shared" si="23"/>
        <v>1.61</v>
      </c>
      <c r="AJ179" s="590">
        <f ca="1" t="shared" si="24"/>
        <v>1</v>
      </c>
      <c r="AK179" s="590">
        <f ca="1" t="shared" si="25"/>
        <v>0</v>
      </c>
      <c r="AL179" s="590">
        <f t="shared" si="26"/>
        <v>64.2</v>
      </c>
      <c r="AM179" s="590">
        <f t="shared" si="27"/>
        <v>63.2</v>
      </c>
      <c r="AN179" s="590">
        <f ca="1" t="shared" si="28"/>
        <v>16</v>
      </c>
      <c r="AO179" s="590">
        <f ca="1" t="shared" si="29"/>
        <v>1</v>
      </c>
      <c r="AP179" s="590">
        <f t="shared" si="30"/>
        <v>70.4</v>
      </c>
      <c r="AQ179" s="590">
        <f t="shared" si="31"/>
        <v>86.4</v>
      </c>
    </row>
    <row r="180" spans="1:43" ht="12.75">
      <c r="A180" s="357">
        <v>63</v>
      </c>
      <c r="B180" s="376" t="str">
        <f>IF(E112=1,AB180,"       Genere")</f>
        <v>       Genere</v>
      </c>
      <c r="C180" s="377" t="str">
        <f>IF(E112=1,AM180,"    Gener")</f>
        <v>    Gener</v>
      </c>
      <c r="D180" s="377" t="str">
        <f>IF(E112=1,AI180,"    Gener")</f>
        <v>    Gener</v>
      </c>
      <c r="E180" s="377" t="str">
        <f>IF(E112=1,AQ180,"    Gener")</f>
        <v>    Gener</v>
      </c>
      <c r="Z180" s="592">
        <f ca="1" t="shared" si="18"/>
        <v>0.04</v>
      </c>
      <c r="AA180" s="593">
        <f ca="1" t="shared" si="19"/>
        <v>0</v>
      </c>
      <c r="AB180" s="590">
        <f>IF(AA180=0,E108-Z180,E108+Z180)</f>
        <v>1.63</v>
      </c>
      <c r="AC180" s="593">
        <f ca="1" t="shared" si="16"/>
        <v>1</v>
      </c>
      <c r="AD180" s="592">
        <f ca="1" t="shared" si="20"/>
        <v>0.04</v>
      </c>
      <c r="AE180" s="590">
        <f t="shared" si="21"/>
        <v>0.90628</v>
      </c>
      <c r="AF180" s="592">
        <f ca="1" t="shared" si="22"/>
        <v>0.05</v>
      </c>
      <c r="AG180" s="590">
        <f>INT((E109+AE180*(AB180-1.669))*100)/100</f>
        <v>1.64</v>
      </c>
      <c r="AH180" s="593">
        <f ca="1" t="shared" si="17"/>
        <v>0</v>
      </c>
      <c r="AI180" s="590">
        <f t="shared" si="23"/>
        <v>1.66</v>
      </c>
      <c r="AJ180" s="590">
        <f ca="1" t="shared" si="24"/>
        <v>4</v>
      </c>
      <c r="AK180" s="590">
        <f ca="1" t="shared" si="25"/>
        <v>0</v>
      </c>
      <c r="AL180" s="590">
        <f t="shared" si="26"/>
        <v>69.5</v>
      </c>
      <c r="AM180" s="590">
        <f t="shared" si="27"/>
        <v>65.5</v>
      </c>
      <c r="AN180" s="590">
        <f ca="1" t="shared" si="28"/>
        <v>4</v>
      </c>
      <c r="AO180" s="590">
        <f ca="1" t="shared" si="29"/>
        <v>0</v>
      </c>
      <c r="AP180" s="590">
        <f t="shared" si="30"/>
        <v>73.1</v>
      </c>
      <c r="AQ180" s="590">
        <f t="shared" si="31"/>
        <v>69.1</v>
      </c>
    </row>
    <row r="181" spans="1:43" ht="12.75">
      <c r="A181" s="357">
        <v>64</v>
      </c>
      <c r="B181" s="376" t="str">
        <f>IF(E112=1,AB181,"       Genere")</f>
        <v>       Genere</v>
      </c>
      <c r="C181" s="377" t="str">
        <f>IF(E112=1,AM181,"    Gener")</f>
        <v>    Gener</v>
      </c>
      <c r="D181" s="377" t="str">
        <f>IF(E112=1,AI181,"    Gener")</f>
        <v>    Gener</v>
      </c>
      <c r="E181" s="377" t="str">
        <f>IF(E112=1,AQ181,"    Gener")</f>
        <v>    Gener</v>
      </c>
      <c r="Z181" s="592">
        <f ca="1" t="shared" si="18"/>
        <v>0.1</v>
      </c>
      <c r="AA181" s="593">
        <f ca="1" t="shared" si="19"/>
        <v>0</v>
      </c>
      <c r="AB181" s="590">
        <f>IF(AA181=0,E108-Z181,E108+Z181)</f>
        <v>1.5699999999999998</v>
      </c>
      <c r="AC181" s="593">
        <f ca="1" t="shared" si="16"/>
        <v>1</v>
      </c>
      <c r="AD181" s="592">
        <f ca="1" t="shared" si="20"/>
        <v>0.02</v>
      </c>
      <c r="AE181" s="590">
        <f t="shared" si="21"/>
        <v>0.8415199999999999</v>
      </c>
      <c r="AF181" s="592">
        <f ca="1" t="shared" si="22"/>
        <v>0.19</v>
      </c>
      <c r="AG181" s="590">
        <f>INT((E109+AE181*(AB181-1.669))*100)/100</f>
        <v>1.59</v>
      </c>
      <c r="AH181" s="593">
        <f ca="1" t="shared" si="17"/>
        <v>1</v>
      </c>
      <c r="AI181" s="590">
        <f t="shared" si="23"/>
        <v>1.68</v>
      </c>
      <c r="AJ181" s="590">
        <f ca="1" t="shared" si="24"/>
        <v>7</v>
      </c>
      <c r="AK181" s="590">
        <f ca="1" t="shared" si="25"/>
        <v>1</v>
      </c>
      <c r="AL181" s="590">
        <f t="shared" si="26"/>
        <v>66.3</v>
      </c>
      <c r="AM181" s="590">
        <f t="shared" si="27"/>
        <v>73.3</v>
      </c>
      <c r="AN181" s="590">
        <f ca="1" t="shared" si="28"/>
        <v>1</v>
      </c>
      <c r="AO181" s="590">
        <f ca="1" t="shared" si="29"/>
        <v>1</v>
      </c>
      <c r="AP181" s="590">
        <f t="shared" si="30"/>
        <v>74.1</v>
      </c>
      <c r="AQ181" s="590">
        <f t="shared" si="31"/>
        <v>75.1</v>
      </c>
    </row>
    <row r="182" spans="1:43" ht="12.75">
      <c r="A182" s="357">
        <v>65</v>
      </c>
      <c r="B182" s="376" t="str">
        <f>IF(E112=1,AB182,"       Genere")</f>
        <v>       Genere</v>
      </c>
      <c r="C182" s="377" t="str">
        <f>IF(E112=1,AM182,"    Gener")</f>
        <v>    Gener</v>
      </c>
      <c r="D182" s="377" t="str">
        <f>IF(E112=1,AI182,"    Gener")</f>
        <v>    Gener</v>
      </c>
      <c r="E182" s="377" t="str">
        <f>IF(E112=1,AQ182,"    Gener")</f>
        <v>    Gener</v>
      </c>
      <c r="Z182" s="592">
        <f ca="1" t="shared" si="18"/>
        <v>0.16</v>
      </c>
      <c r="AA182" s="593">
        <f ca="1" t="shared" si="19"/>
        <v>1</v>
      </c>
      <c r="AB182" s="590">
        <f>IF(AA182=0,E108-Z182,E108+Z182)</f>
        <v>1.8299999999999998</v>
      </c>
      <c r="AC182" s="593">
        <f aca="true" ca="1" t="shared" si="32" ref="AC182:AC202">INT(RAND()*10/5)</f>
        <v>0</v>
      </c>
      <c r="AD182" s="592">
        <f ca="1" t="shared" si="20"/>
        <v>0.02</v>
      </c>
      <c r="AE182" s="590">
        <f t="shared" si="21"/>
        <v>0.9076799999999999</v>
      </c>
      <c r="AF182" s="592">
        <f ca="1" t="shared" si="22"/>
        <v>0.15</v>
      </c>
      <c r="AG182" s="590">
        <f>INT((E109+AE182*(AB182-1.669))*100)/100</f>
        <v>1.82</v>
      </c>
      <c r="AH182" s="593">
        <f aca="true" ca="1" t="shared" si="33" ref="AH182:AH202">INT(RAND()*10/5)</f>
        <v>0</v>
      </c>
      <c r="AI182" s="590">
        <f t="shared" si="23"/>
        <v>1.74</v>
      </c>
      <c r="AJ182" s="590">
        <f ca="1" t="shared" si="24"/>
        <v>8</v>
      </c>
      <c r="AK182" s="590">
        <f ca="1" t="shared" si="25"/>
        <v>1</v>
      </c>
      <c r="AL182" s="590">
        <f t="shared" si="26"/>
        <v>80.1</v>
      </c>
      <c r="AM182" s="590">
        <f t="shared" si="27"/>
        <v>88.1</v>
      </c>
      <c r="AN182" s="590">
        <f ca="1" t="shared" si="28"/>
        <v>0</v>
      </c>
      <c r="AO182" s="590">
        <f ca="1" t="shared" si="29"/>
        <v>1</v>
      </c>
      <c r="AP182" s="590">
        <f t="shared" si="30"/>
        <v>77.3</v>
      </c>
      <c r="AQ182" s="590">
        <f t="shared" si="31"/>
        <v>77.3</v>
      </c>
    </row>
    <row r="183" spans="1:43" ht="12.75">
      <c r="A183" s="357">
        <v>66</v>
      </c>
      <c r="B183" s="376" t="str">
        <f>IF(E112=1,AB183,"       Genere")</f>
        <v>       Genere</v>
      </c>
      <c r="C183" s="377" t="str">
        <f>IF(E112=1,AM183,"    Gener")</f>
        <v>    Gener</v>
      </c>
      <c r="D183" s="377" t="str">
        <f>IF(E112=1,AI183,"    Gener")</f>
        <v>    Gener</v>
      </c>
      <c r="E183" s="377" t="str">
        <f>IF(E112=1,AQ183,"    Gener")</f>
        <v>    Gener</v>
      </c>
      <c r="Z183" s="592">
        <f aca="true" ca="1" t="shared" si="34" ref="Z183:Z202">INT(RAND()*0.23*100)/100</f>
        <v>0.2</v>
      </c>
      <c r="AA183" s="593">
        <f aca="true" ca="1" t="shared" si="35" ref="AA183:AA202">INT(RAND()*10/5)</f>
        <v>0</v>
      </c>
      <c r="AB183" s="590">
        <f>IF(AA183=0,E108-Z183,E108+Z183)</f>
        <v>1.47</v>
      </c>
      <c r="AC183" s="593">
        <f ca="1" t="shared" si="32"/>
        <v>0</v>
      </c>
      <c r="AD183" s="592">
        <f aca="true" ca="1" t="shared" si="36" ref="AD183:AD202">INT(RAND()*0.05*100)/100</f>
        <v>0</v>
      </c>
      <c r="AE183" s="590">
        <f aca="true" t="shared" si="37" ref="AE183:AE202">IF(AC183=0,AB183*(0.516-AD183),AB183*(0.516+AD183))</f>
        <v>0.75852</v>
      </c>
      <c r="AF183" s="592">
        <f aca="true" ca="1" t="shared" si="38" ref="AF183:AF202">INT(RAND()*0.25*100)/100</f>
        <v>0.18</v>
      </c>
      <c r="AG183" s="590">
        <f>INT((E109+AE183*(AB183-1.669))*100)/100</f>
        <v>1.52</v>
      </c>
      <c r="AH183" s="593">
        <f ca="1" t="shared" si="33"/>
        <v>0</v>
      </c>
      <c r="AI183" s="590">
        <f aca="true" t="shared" si="39" ref="AI183:AI202">INT(IF(AA183=0,AG183+AF183*0.48,AG183-AF183*0.48)*100)/100</f>
        <v>1.6</v>
      </c>
      <c r="AJ183" s="590">
        <f aca="true" ca="1" t="shared" si="40" ref="AJ183:AJ202">INT(RAND()*20.75)</f>
        <v>8</v>
      </c>
      <c r="AK183" s="590">
        <f aca="true" ca="1" t="shared" si="41" ref="AK183:AK202">INT(RAND()*10/5)</f>
        <v>1</v>
      </c>
      <c r="AL183" s="590">
        <f aca="true" t="shared" si="42" ref="AL183:AL202">INT((-26.98+53.08*AB183+10)*10)/10</f>
        <v>61</v>
      </c>
      <c r="AM183" s="590">
        <f aca="true" t="shared" si="43" ref="AM183:AM202">IF(AK183=0,AL183-AJ183,AL183+AJ183)</f>
        <v>69</v>
      </c>
      <c r="AN183" s="590">
        <f aca="true" ca="1" t="shared" si="44" ref="AN183:AN202">INT(RAND()*20.75)</f>
        <v>10</v>
      </c>
      <c r="AO183" s="590">
        <f aca="true" ca="1" t="shared" si="45" ref="AO183:AO202">INT(RAND()*10/5)</f>
        <v>1</v>
      </c>
      <c r="AP183" s="590">
        <f aca="true" t="shared" si="46" ref="AP183:AP202">INT((-26.98+53.08*AI183+12)*10)/10</f>
        <v>69.9</v>
      </c>
      <c r="AQ183" s="590">
        <f aca="true" t="shared" si="47" ref="AQ183:AQ202">IF(AO183=0,AP183-AN183,AP183+AN183)</f>
        <v>79.9</v>
      </c>
    </row>
    <row r="184" spans="1:43" ht="12.75">
      <c r="A184" s="357">
        <v>67</v>
      </c>
      <c r="B184" s="376" t="str">
        <f>IF(E112=1,AB184,"       Genere")</f>
        <v>       Genere</v>
      </c>
      <c r="C184" s="377" t="str">
        <f>IF(E112=1,AM184,"    Gener")</f>
        <v>    Gener</v>
      </c>
      <c r="D184" s="377" t="str">
        <f>IF(E112=1,AI184,"    Gener")</f>
        <v>    Gener</v>
      </c>
      <c r="E184" s="377" t="str">
        <f>IF(E112=1,AQ184,"    Gener")</f>
        <v>    Gener</v>
      </c>
      <c r="Z184" s="592">
        <f ca="1" t="shared" si="34"/>
        <v>0</v>
      </c>
      <c r="AA184" s="593">
        <f ca="1" t="shared" si="35"/>
        <v>0</v>
      </c>
      <c r="AB184" s="590">
        <f>IF(AA184=0,E108-Z184,E108+Z184)</f>
        <v>1.67</v>
      </c>
      <c r="AC184" s="593">
        <f ca="1" t="shared" si="32"/>
        <v>0</v>
      </c>
      <c r="AD184" s="592">
        <f ca="1" t="shared" si="36"/>
        <v>0.02</v>
      </c>
      <c r="AE184" s="590">
        <f t="shared" si="37"/>
        <v>0.82832</v>
      </c>
      <c r="AF184" s="592">
        <f ca="1" t="shared" si="38"/>
        <v>0.22</v>
      </c>
      <c r="AG184" s="590">
        <f>INT((E109+AE184*(AB184-1.669))*100)/100</f>
        <v>1.68</v>
      </c>
      <c r="AH184" s="593">
        <f ca="1" t="shared" si="33"/>
        <v>0</v>
      </c>
      <c r="AI184" s="590">
        <f t="shared" si="39"/>
        <v>1.78</v>
      </c>
      <c r="AJ184" s="590">
        <f ca="1" t="shared" si="40"/>
        <v>8</v>
      </c>
      <c r="AK184" s="590">
        <f ca="1" t="shared" si="41"/>
        <v>0</v>
      </c>
      <c r="AL184" s="590">
        <f t="shared" si="42"/>
        <v>71.6</v>
      </c>
      <c r="AM184" s="590">
        <f t="shared" si="43"/>
        <v>63.599999999999994</v>
      </c>
      <c r="AN184" s="590">
        <f ca="1" t="shared" si="44"/>
        <v>5</v>
      </c>
      <c r="AO184" s="590">
        <f ca="1" t="shared" si="45"/>
        <v>1</v>
      </c>
      <c r="AP184" s="590">
        <f t="shared" si="46"/>
        <v>79.5</v>
      </c>
      <c r="AQ184" s="590">
        <f t="shared" si="47"/>
        <v>84.5</v>
      </c>
    </row>
    <row r="185" spans="1:43" ht="12.75">
      <c r="A185" s="357">
        <v>68</v>
      </c>
      <c r="B185" s="376" t="str">
        <f>IF(E112=1,AB185,"       Genere")</f>
        <v>       Genere</v>
      </c>
      <c r="C185" s="377" t="str">
        <f>IF(E112=1,AM185,"    Gener")</f>
        <v>    Gener</v>
      </c>
      <c r="D185" s="377" t="str">
        <f>IF(E112=1,AI185,"    Gener")</f>
        <v>    Gener</v>
      </c>
      <c r="E185" s="377" t="str">
        <f>IF(E112=1,AQ185,"    Gener")</f>
        <v>    Gener</v>
      </c>
      <c r="Z185" s="592">
        <f ca="1" t="shared" si="34"/>
        <v>0.16</v>
      </c>
      <c r="AA185" s="593">
        <f ca="1" t="shared" si="35"/>
        <v>1</v>
      </c>
      <c r="AB185" s="590">
        <f>IF(AA185=0,E108-Z185,E108+Z185)</f>
        <v>1.8299999999999998</v>
      </c>
      <c r="AC185" s="593">
        <f ca="1" t="shared" si="32"/>
        <v>1</v>
      </c>
      <c r="AD185" s="592">
        <f ca="1" t="shared" si="36"/>
        <v>0.01</v>
      </c>
      <c r="AE185" s="590">
        <f t="shared" si="37"/>
        <v>0.96258</v>
      </c>
      <c r="AF185" s="592">
        <f ca="1" t="shared" si="38"/>
        <v>0.04</v>
      </c>
      <c r="AG185" s="590">
        <f>INT((E109+AE185*(AB185-1.669))*100)/100</f>
        <v>1.83</v>
      </c>
      <c r="AH185" s="593">
        <f ca="1" t="shared" si="33"/>
        <v>1</v>
      </c>
      <c r="AI185" s="590">
        <f t="shared" si="39"/>
        <v>1.81</v>
      </c>
      <c r="AJ185" s="590">
        <f ca="1" t="shared" si="40"/>
        <v>3</v>
      </c>
      <c r="AK185" s="590">
        <f ca="1" t="shared" si="41"/>
        <v>0</v>
      </c>
      <c r="AL185" s="590">
        <f t="shared" si="42"/>
        <v>80.1</v>
      </c>
      <c r="AM185" s="590">
        <f t="shared" si="43"/>
        <v>77.1</v>
      </c>
      <c r="AN185" s="590">
        <f ca="1" t="shared" si="44"/>
        <v>18</v>
      </c>
      <c r="AO185" s="590">
        <f ca="1" t="shared" si="45"/>
        <v>0</v>
      </c>
      <c r="AP185" s="590">
        <f t="shared" si="46"/>
        <v>81</v>
      </c>
      <c r="AQ185" s="590">
        <f t="shared" si="47"/>
        <v>63</v>
      </c>
    </row>
    <row r="186" spans="1:43" ht="12.75">
      <c r="A186" s="357">
        <v>69</v>
      </c>
      <c r="B186" s="376" t="str">
        <f>IF(E112=1,AB186,"       Genere")</f>
        <v>       Genere</v>
      </c>
      <c r="C186" s="377" t="str">
        <f>IF(E112=1,AM186,"    Gener")</f>
        <v>    Gener</v>
      </c>
      <c r="D186" s="377" t="str">
        <f>IF(E112=1,AI186,"    Gener")</f>
        <v>    Gener</v>
      </c>
      <c r="E186" s="377" t="str">
        <f>IF(E112=1,AQ186,"    Gener")</f>
        <v>    Gener</v>
      </c>
      <c r="Z186" s="592">
        <f ca="1" t="shared" si="34"/>
        <v>0.03</v>
      </c>
      <c r="AA186" s="593">
        <f ca="1" t="shared" si="35"/>
        <v>0</v>
      </c>
      <c r="AB186" s="590">
        <f>IF(AA186=0,E108-Z186,E108+Z186)</f>
        <v>1.64</v>
      </c>
      <c r="AC186" s="593">
        <f ca="1" t="shared" si="32"/>
        <v>1</v>
      </c>
      <c r="AD186" s="592">
        <f ca="1" t="shared" si="36"/>
        <v>0.02</v>
      </c>
      <c r="AE186" s="590">
        <f t="shared" si="37"/>
        <v>0.87904</v>
      </c>
      <c r="AF186" s="592">
        <f ca="1" t="shared" si="38"/>
        <v>0.05</v>
      </c>
      <c r="AG186" s="590">
        <f>INT((E109+AE186*(AB186-1.669))*100)/100</f>
        <v>1.65</v>
      </c>
      <c r="AH186" s="593">
        <f ca="1" t="shared" si="33"/>
        <v>1</v>
      </c>
      <c r="AI186" s="590">
        <f t="shared" si="39"/>
        <v>1.67</v>
      </c>
      <c r="AJ186" s="590">
        <f ca="1" t="shared" si="40"/>
        <v>9</v>
      </c>
      <c r="AK186" s="590">
        <f ca="1" t="shared" si="41"/>
        <v>1</v>
      </c>
      <c r="AL186" s="590">
        <f t="shared" si="42"/>
        <v>70</v>
      </c>
      <c r="AM186" s="590">
        <f t="shared" si="43"/>
        <v>79</v>
      </c>
      <c r="AN186" s="590">
        <f ca="1" t="shared" si="44"/>
        <v>14</v>
      </c>
      <c r="AO186" s="590">
        <f ca="1" t="shared" si="45"/>
        <v>1</v>
      </c>
      <c r="AP186" s="590">
        <f t="shared" si="46"/>
        <v>73.6</v>
      </c>
      <c r="AQ186" s="590">
        <f t="shared" si="47"/>
        <v>87.6</v>
      </c>
    </row>
    <row r="187" spans="1:43" ht="12.75">
      <c r="A187" s="357">
        <v>70</v>
      </c>
      <c r="B187" s="376" t="str">
        <f>IF(E112=1,AB187,"       Genere")</f>
        <v>       Genere</v>
      </c>
      <c r="C187" s="377" t="str">
        <f>IF(E112=1,AM187,"    Gener")</f>
        <v>    Gener</v>
      </c>
      <c r="D187" s="377" t="str">
        <f>IF(E112=1,AI187,"    Gener")</f>
        <v>    Gener</v>
      </c>
      <c r="E187" s="377" t="str">
        <f>IF(E112=1,AQ187,"    Gener")</f>
        <v>    Gener</v>
      </c>
      <c r="Z187" s="592">
        <f ca="1" t="shared" si="34"/>
        <v>0.2</v>
      </c>
      <c r="AA187" s="593">
        <f ca="1" t="shared" si="35"/>
        <v>1</v>
      </c>
      <c r="AB187" s="590">
        <f>IF(AA187=0,E108-Z187,E108+Z187)</f>
        <v>1.8699999999999999</v>
      </c>
      <c r="AC187" s="593">
        <f ca="1" t="shared" si="32"/>
        <v>0</v>
      </c>
      <c r="AD187" s="592">
        <f ca="1" t="shared" si="36"/>
        <v>0.04</v>
      </c>
      <c r="AE187" s="590">
        <f t="shared" si="37"/>
        <v>0.89012</v>
      </c>
      <c r="AF187" s="592">
        <f ca="1" t="shared" si="38"/>
        <v>0.1</v>
      </c>
      <c r="AG187" s="590">
        <f>INT((E109+AE187*(AB187-1.669))*100)/100</f>
        <v>1.85</v>
      </c>
      <c r="AH187" s="593">
        <f ca="1" t="shared" si="33"/>
        <v>1</v>
      </c>
      <c r="AI187" s="590">
        <f t="shared" si="39"/>
        <v>1.8</v>
      </c>
      <c r="AJ187" s="590">
        <f ca="1" t="shared" si="40"/>
        <v>18</v>
      </c>
      <c r="AK187" s="590">
        <f ca="1" t="shared" si="41"/>
        <v>1</v>
      </c>
      <c r="AL187" s="590">
        <f t="shared" si="42"/>
        <v>82.2</v>
      </c>
      <c r="AM187" s="590">
        <f t="shared" si="43"/>
        <v>100.2</v>
      </c>
      <c r="AN187" s="590">
        <f ca="1" t="shared" si="44"/>
        <v>8</v>
      </c>
      <c r="AO187" s="590">
        <f ca="1" t="shared" si="45"/>
        <v>0</v>
      </c>
      <c r="AP187" s="590">
        <f t="shared" si="46"/>
        <v>80.5</v>
      </c>
      <c r="AQ187" s="590">
        <f t="shared" si="47"/>
        <v>72.5</v>
      </c>
    </row>
    <row r="188" spans="1:43" ht="12.75">
      <c r="A188" s="357">
        <v>71</v>
      </c>
      <c r="B188" s="376" t="str">
        <f>IF(E112=1,AB188,"       Genere")</f>
        <v>       Genere</v>
      </c>
      <c r="C188" s="377" t="str">
        <f>IF(E112=1,AM188,"    Gener")</f>
        <v>    Gener</v>
      </c>
      <c r="D188" s="377" t="str">
        <f>IF(E112=1,AI188,"    Gener")</f>
        <v>    Gener</v>
      </c>
      <c r="E188" s="377" t="str">
        <f>IF(E112=1,AQ188,"    Gener")</f>
        <v>    Gener</v>
      </c>
      <c r="Z188" s="592">
        <f ca="1" t="shared" si="34"/>
        <v>0.22</v>
      </c>
      <c r="AA188" s="593">
        <f ca="1" t="shared" si="35"/>
        <v>1</v>
      </c>
      <c r="AB188" s="590">
        <f>IF(AA188=0,E108-Z188,E108+Z188)</f>
        <v>1.89</v>
      </c>
      <c r="AC188" s="593">
        <f ca="1" t="shared" si="32"/>
        <v>1</v>
      </c>
      <c r="AD188" s="592">
        <f ca="1" t="shared" si="36"/>
        <v>0</v>
      </c>
      <c r="AE188" s="590">
        <f t="shared" si="37"/>
        <v>0.97524</v>
      </c>
      <c r="AF188" s="592">
        <f ca="1" t="shared" si="38"/>
        <v>0.07</v>
      </c>
      <c r="AG188" s="590">
        <f>INT((E109+AE188*(AB188-1.669))*100)/100</f>
        <v>1.89</v>
      </c>
      <c r="AH188" s="593">
        <f ca="1" t="shared" si="33"/>
        <v>0</v>
      </c>
      <c r="AI188" s="590">
        <f t="shared" si="39"/>
        <v>1.85</v>
      </c>
      <c r="AJ188" s="590">
        <f ca="1" t="shared" si="40"/>
        <v>8</v>
      </c>
      <c r="AK188" s="590">
        <f ca="1" t="shared" si="41"/>
        <v>1</v>
      </c>
      <c r="AL188" s="590">
        <f t="shared" si="42"/>
        <v>83.3</v>
      </c>
      <c r="AM188" s="590">
        <f t="shared" si="43"/>
        <v>91.3</v>
      </c>
      <c r="AN188" s="590">
        <f ca="1" t="shared" si="44"/>
        <v>0</v>
      </c>
      <c r="AO188" s="590">
        <f ca="1" t="shared" si="45"/>
        <v>1</v>
      </c>
      <c r="AP188" s="590">
        <f t="shared" si="46"/>
        <v>83.2</v>
      </c>
      <c r="AQ188" s="590">
        <f t="shared" si="47"/>
        <v>83.2</v>
      </c>
    </row>
    <row r="189" spans="1:43" ht="12.75">
      <c r="A189" s="357">
        <v>72</v>
      </c>
      <c r="B189" s="376" t="str">
        <f>IF(E112=1,AB189,"       Genere")</f>
        <v>       Genere</v>
      </c>
      <c r="C189" s="377" t="str">
        <f>IF(E112=1,AM189,"    Gener")</f>
        <v>    Gener</v>
      </c>
      <c r="D189" s="377" t="str">
        <f>IF(E112=1,AI189,"    Gener")</f>
        <v>    Gener</v>
      </c>
      <c r="E189" s="377" t="str">
        <f>IF(E112=1,AQ189,"    Gener")</f>
        <v>    Gener</v>
      </c>
      <c r="Z189" s="592">
        <f ca="1" t="shared" si="34"/>
        <v>0.03</v>
      </c>
      <c r="AA189" s="593">
        <f ca="1" t="shared" si="35"/>
        <v>0</v>
      </c>
      <c r="AB189" s="590">
        <f>IF(AA189=0,E108-Z189,E108+Z189)</f>
        <v>1.64</v>
      </c>
      <c r="AC189" s="593">
        <f ca="1" t="shared" si="32"/>
        <v>0</v>
      </c>
      <c r="AD189" s="592">
        <f ca="1" t="shared" si="36"/>
        <v>0.04</v>
      </c>
      <c r="AE189" s="590">
        <f t="shared" si="37"/>
        <v>0.78064</v>
      </c>
      <c r="AF189" s="592">
        <f ca="1" t="shared" si="38"/>
        <v>0.05</v>
      </c>
      <c r="AG189" s="590">
        <f>INT((E109+AE189*(AB189-1.669))*100)/100</f>
        <v>1.65</v>
      </c>
      <c r="AH189" s="593">
        <f ca="1" t="shared" si="33"/>
        <v>1</v>
      </c>
      <c r="AI189" s="590">
        <f t="shared" si="39"/>
        <v>1.67</v>
      </c>
      <c r="AJ189" s="590">
        <f ca="1" t="shared" si="40"/>
        <v>1</v>
      </c>
      <c r="AK189" s="590">
        <f ca="1" t="shared" si="41"/>
        <v>1</v>
      </c>
      <c r="AL189" s="590">
        <f t="shared" si="42"/>
        <v>70</v>
      </c>
      <c r="AM189" s="590">
        <f t="shared" si="43"/>
        <v>71</v>
      </c>
      <c r="AN189" s="590">
        <f ca="1" t="shared" si="44"/>
        <v>12</v>
      </c>
      <c r="AO189" s="590">
        <f ca="1" t="shared" si="45"/>
        <v>0</v>
      </c>
      <c r="AP189" s="590">
        <f t="shared" si="46"/>
        <v>73.6</v>
      </c>
      <c r="AQ189" s="590">
        <f t="shared" si="47"/>
        <v>61.599999999999994</v>
      </c>
    </row>
    <row r="190" spans="1:43" ht="12.75">
      <c r="A190" s="357">
        <v>73</v>
      </c>
      <c r="B190" s="376" t="str">
        <f>IF(E112=1,AB190,"       Genere")</f>
        <v>       Genere</v>
      </c>
      <c r="C190" s="377" t="str">
        <f>IF(E112=1,AM190,"    Gener")</f>
        <v>    Gener</v>
      </c>
      <c r="D190" s="377" t="str">
        <f>IF(E112=1,AI190,"    Gener")</f>
        <v>    Gener</v>
      </c>
      <c r="E190" s="377" t="str">
        <f>IF(E112=1,AQ190,"    Gener")</f>
        <v>    Gener</v>
      </c>
      <c r="Z190" s="592">
        <f ca="1" t="shared" si="34"/>
        <v>0.11</v>
      </c>
      <c r="AA190" s="593">
        <f ca="1" t="shared" si="35"/>
        <v>1</v>
      </c>
      <c r="AB190" s="590">
        <f>IF(AA190=0,E108-Z190,E108+Z190)</f>
        <v>1.78</v>
      </c>
      <c r="AC190" s="593">
        <f ca="1" t="shared" si="32"/>
        <v>0</v>
      </c>
      <c r="AD190" s="592">
        <f ca="1" t="shared" si="36"/>
        <v>0.02</v>
      </c>
      <c r="AE190" s="590">
        <f t="shared" si="37"/>
        <v>0.88288</v>
      </c>
      <c r="AF190" s="592">
        <f ca="1" t="shared" si="38"/>
        <v>0.05</v>
      </c>
      <c r="AG190" s="590">
        <f>INT((E109+AE190*(AB190-1.669))*100)/100</f>
        <v>1.77</v>
      </c>
      <c r="AH190" s="593">
        <f ca="1" t="shared" si="33"/>
        <v>1</v>
      </c>
      <c r="AI190" s="590">
        <f t="shared" si="39"/>
        <v>1.74</v>
      </c>
      <c r="AJ190" s="590">
        <f ca="1" t="shared" si="40"/>
        <v>20</v>
      </c>
      <c r="AK190" s="590">
        <f ca="1" t="shared" si="41"/>
        <v>0</v>
      </c>
      <c r="AL190" s="590">
        <f t="shared" si="42"/>
        <v>77.5</v>
      </c>
      <c r="AM190" s="590">
        <f t="shared" si="43"/>
        <v>57.5</v>
      </c>
      <c r="AN190" s="590">
        <f ca="1" t="shared" si="44"/>
        <v>17</v>
      </c>
      <c r="AO190" s="590">
        <f ca="1" t="shared" si="45"/>
        <v>0</v>
      </c>
      <c r="AP190" s="590">
        <f t="shared" si="46"/>
        <v>77.3</v>
      </c>
      <c r="AQ190" s="590">
        <f t="shared" si="47"/>
        <v>60.3</v>
      </c>
    </row>
    <row r="191" spans="1:43" ht="12.75">
      <c r="A191" s="357">
        <v>74</v>
      </c>
      <c r="B191" s="376" t="str">
        <f>IF(E112=1,AB191,"       Genere")</f>
        <v>       Genere</v>
      </c>
      <c r="C191" s="377" t="str">
        <f>IF(E112=1,AM191,"    Gener")</f>
        <v>    Gener</v>
      </c>
      <c r="D191" s="377" t="str">
        <f>IF(E112=1,AI191,"    Gener")</f>
        <v>    Gener</v>
      </c>
      <c r="E191" s="377" t="str">
        <f>IF(E112=1,AQ191,"    Gener")</f>
        <v>    Gener</v>
      </c>
      <c r="Z191" s="592">
        <f ca="1" t="shared" si="34"/>
        <v>0.14</v>
      </c>
      <c r="AA191" s="593">
        <f ca="1" t="shared" si="35"/>
        <v>1</v>
      </c>
      <c r="AB191" s="590">
        <f>IF(AA191=0,E108-Z191,E108+Z191)</f>
        <v>1.81</v>
      </c>
      <c r="AC191" s="593">
        <f ca="1" t="shared" si="32"/>
        <v>0</v>
      </c>
      <c r="AD191" s="592">
        <f ca="1" t="shared" si="36"/>
        <v>0</v>
      </c>
      <c r="AE191" s="590">
        <f t="shared" si="37"/>
        <v>0.93396</v>
      </c>
      <c r="AF191" s="592">
        <f ca="1" t="shared" si="38"/>
        <v>0.14</v>
      </c>
      <c r="AG191" s="590">
        <f>INT((E109+AE191*(AB191-1.669))*100)/100</f>
        <v>1.81</v>
      </c>
      <c r="AH191" s="593">
        <f ca="1" t="shared" si="33"/>
        <v>1</v>
      </c>
      <c r="AI191" s="590">
        <f t="shared" si="39"/>
        <v>1.74</v>
      </c>
      <c r="AJ191" s="590">
        <f ca="1" t="shared" si="40"/>
        <v>13</v>
      </c>
      <c r="AK191" s="590">
        <f ca="1" t="shared" si="41"/>
        <v>1</v>
      </c>
      <c r="AL191" s="590">
        <f t="shared" si="42"/>
        <v>79</v>
      </c>
      <c r="AM191" s="590">
        <f t="shared" si="43"/>
        <v>92</v>
      </c>
      <c r="AN191" s="590">
        <f ca="1" t="shared" si="44"/>
        <v>2</v>
      </c>
      <c r="AO191" s="590">
        <f ca="1" t="shared" si="45"/>
        <v>0</v>
      </c>
      <c r="AP191" s="590">
        <f t="shared" si="46"/>
        <v>77.3</v>
      </c>
      <c r="AQ191" s="590">
        <f t="shared" si="47"/>
        <v>75.3</v>
      </c>
    </row>
    <row r="192" spans="1:43" ht="12.75">
      <c r="A192" s="357">
        <v>75</v>
      </c>
      <c r="B192" s="376" t="str">
        <f>IF(E112=1,AB192,"       Genere")</f>
        <v>       Genere</v>
      </c>
      <c r="C192" s="377" t="str">
        <f>IF(E112=1,AM192,"    Gener")</f>
        <v>    Gener</v>
      </c>
      <c r="D192" s="377" t="str">
        <f>IF(E112=1,AI192,"    Gener")</f>
        <v>    Gener</v>
      </c>
      <c r="E192" s="377" t="str">
        <f>IF(E112=1,AQ192,"    Gener")</f>
        <v>    Gener</v>
      </c>
      <c r="Z192" s="592">
        <f ca="1" t="shared" si="34"/>
        <v>0.03</v>
      </c>
      <c r="AA192" s="593">
        <f ca="1" t="shared" si="35"/>
        <v>1</v>
      </c>
      <c r="AB192" s="590">
        <f>IF(AA192=0,E108-Z192,E108+Z192)</f>
        <v>1.7</v>
      </c>
      <c r="AC192" s="593">
        <f ca="1" t="shared" si="32"/>
        <v>0</v>
      </c>
      <c r="AD192" s="592">
        <f ca="1" t="shared" si="36"/>
        <v>0.04</v>
      </c>
      <c r="AE192" s="590">
        <f t="shared" si="37"/>
        <v>0.8092</v>
      </c>
      <c r="AF192" s="592">
        <f ca="1" t="shared" si="38"/>
        <v>0</v>
      </c>
      <c r="AG192" s="590">
        <f>INT((E109+AE192*(AB192-1.669))*100)/100</f>
        <v>1.7</v>
      </c>
      <c r="AH192" s="593">
        <f ca="1" t="shared" si="33"/>
        <v>0</v>
      </c>
      <c r="AI192" s="590">
        <f t="shared" si="39"/>
        <v>1.7</v>
      </c>
      <c r="AJ192" s="590">
        <f ca="1" t="shared" si="40"/>
        <v>11</v>
      </c>
      <c r="AK192" s="590">
        <f ca="1" t="shared" si="41"/>
        <v>0</v>
      </c>
      <c r="AL192" s="590">
        <f t="shared" si="42"/>
        <v>73.2</v>
      </c>
      <c r="AM192" s="590">
        <f t="shared" si="43"/>
        <v>62.2</v>
      </c>
      <c r="AN192" s="590">
        <f ca="1" t="shared" si="44"/>
        <v>16</v>
      </c>
      <c r="AO192" s="590">
        <f ca="1" t="shared" si="45"/>
        <v>0</v>
      </c>
      <c r="AP192" s="590">
        <f t="shared" si="46"/>
        <v>75.2</v>
      </c>
      <c r="AQ192" s="590">
        <f t="shared" si="47"/>
        <v>59.2</v>
      </c>
    </row>
    <row r="193" spans="1:43" ht="12.75">
      <c r="A193" s="357">
        <v>76</v>
      </c>
      <c r="B193" s="376" t="str">
        <f>IF(E112=1,AB193,"       Genere")</f>
        <v>       Genere</v>
      </c>
      <c r="C193" s="377" t="str">
        <f>IF(E112=1,AM193,"    Gener")</f>
        <v>    Gener</v>
      </c>
      <c r="D193" s="377" t="str">
        <f>IF(E112=1,AI193,"    Gener")</f>
        <v>    Gener</v>
      </c>
      <c r="E193" s="377" t="str">
        <f>IF(E112=1,AQ193,"    Gener")</f>
        <v>    Gener</v>
      </c>
      <c r="Z193" s="592">
        <f ca="1" t="shared" si="34"/>
        <v>0.06</v>
      </c>
      <c r="AA193" s="593">
        <f ca="1" t="shared" si="35"/>
        <v>0</v>
      </c>
      <c r="AB193" s="590">
        <f>IF(AA193=0,E108-Z193,E108+Z193)</f>
        <v>1.6099999999999999</v>
      </c>
      <c r="AC193" s="593">
        <f ca="1" t="shared" si="32"/>
        <v>0</v>
      </c>
      <c r="AD193" s="592">
        <f ca="1" t="shared" si="36"/>
        <v>0.03</v>
      </c>
      <c r="AE193" s="590">
        <f t="shared" si="37"/>
        <v>0.7824599999999999</v>
      </c>
      <c r="AF193" s="592">
        <f ca="1" t="shared" si="38"/>
        <v>0.11</v>
      </c>
      <c r="AG193" s="590">
        <f>INT((E109+AE193*(AB193-1.669))*100)/100</f>
        <v>1.63</v>
      </c>
      <c r="AH193" s="593">
        <f ca="1" t="shared" si="33"/>
        <v>1</v>
      </c>
      <c r="AI193" s="590">
        <f t="shared" si="39"/>
        <v>1.68</v>
      </c>
      <c r="AJ193" s="590">
        <f ca="1" t="shared" si="40"/>
        <v>18</v>
      </c>
      <c r="AK193" s="590">
        <f ca="1" t="shared" si="41"/>
        <v>1</v>
      </c>
      <c r="AL193" s="590">
        <f t="shared" si="42"/>
        <v>68.4</v>
      </c>
      <c r="AM193" s="590">
        <f t="shared" si="43"/>
        <v>86.4</v>
      </c>
      <c r="AN193" s="590">
        <f ca="1" t="shared" si="44"/>
        <v>15</v>
      </c>
      <c r="AO193" s="590">
        <f ca="1" t="shared" si="45"/>
        <v>1</v>
      </c>
      <c r="AP193" s="590">
        <f t="shared" si="46"/>
        <v>74.1</v>
      </c>
      <c r="AQ193" s="590">
        <f t="shared" si="47"/>
        <v>89.1</v>
      </c>
    </row>
    <row r="194" spans="1:43" ht="12.75">
      <c r="A194" s="357">
        <v>77</v>
      </c>
      <c r="B194" s="376" t="str">
        <f>IF(E112=1,AB194,"       Genere")</f>
        <v>       Genere</v>
      </c>
      <c r="C194" s="377" t="str">
        <f>IF(E112=1,AM194,"    Gener")</f>
        <v>    Gener</v>
      </c>
      <c r="D194" s="377" t="str">
        <f>IF(E112=1,AI194,"    Gener")</f>
        <v>    Gener</v>
      </c>
      <c r="E194" s="377" t="str">
        <f>IF(E112=1,AQ194,"    Gener")</f>
        <v>    Gener</v>
      </c>
      <c r="Z194" s="592">
        <f ca="1" t="shared" si="34"/>
        <v>0.03</v>
      </c>
      <c r="AA194" s="593">
        <f ca="1" t="shared" si="35"/>
        <v>0</v>
      </c>
      <c r="AB194" s="590">
        <f>IF(AA194=0,E108-Z194,E108+Z194)</f>
        <v>1.64</v>
      </c>
      <c r="AC194" s="593">
        <f ca="1" t="shared" si="32"/>
        <v>1</v>
      </c>
      <c r="AD194" s="592">
        <f ca="1" t="shared" si="36"/>
        <v>0.03</v>
      </c>
      <c r="AE194" s="590">
        <f t="shared" si="37"/>
        <v>0.89544</v>
      </c>
      <c r="AF194" s="592">
        <f ca="1" t="shared" si="38"/>
        <v>0.09</v>
      </c>
      <c r="AG194" s="590">
        <f>INT((E109+AE194*(AB194-1.669))*100)/100</f>
        <v>1.65</v>
      </c>
      <c r="AH194" s="593">
        <f ca="1" t="shared" si="33"/>
        <v>1</v>
      </c>
      <c r="AI194" s="590">
        <f t="shared" si="39"/>
        <v>1.69</v>
      </c>
      <c r="AJ194" s="590">
        <f ca="1" t="shared" si="40"/>
        <v>3</v>
      </c>
      <c r="AK194" s="590">
        <f ca="1" t="shared" si="41"/>
        <v>1</v>
      </c>
      <c r="AL194" s="590">
        <f t="shared" si="42"/>
        <v>70</v>
      </c>
      <c r="AM194" s="590">
        <f t="shared" si="43"/>
        <v>73</v>
      </c>
      <c r="AN194" s="590">
        <f ca="1" t="shared" si="44"/>
        <v>6</v>
      </c>
      <c r="AO194" s="590">
        <f ca="1" t="shared" si="45"/>
        <v>0</v>
      </c>
      <c r="AP194" s="590">
        <f t="shared" si="46"/>
        <v>74.7</v>
      </c>
      <c r="AQ194" s="590">
        <f t="shared" si="47"/>
        <v>68.7</v>
      </c>
    </row>
    <row r="195" spans="1:43" ht="12.75">
      <c r="A195" s="357">
        <v>78</v>
      </c>
      <c r="B195" s="376" t="str">
        <f>IF(E112=1,AB195,"       Genere")</f>
        <v>       Genere</v>
      </c>
      <c r="C195" s="377" t="str">
        <f>IF(E112=1,AM195,"    Gener")</f>
        <v>    Gener</v>
      </c>
      <c r="D195" s="377" t="str">
        <f>IF(E112=1,AI195,"    Gener")</f>
        <v>    Gener</v>
      </c>
      <c r="E195" s="377" t="str">
        <f>IF(E112=1,AQ195,"    Gener")</f>
        <v>    Gener</v>
      </c>
      <c r="Z195" s="592">
        <f ca="1" t="shared" si="34"/>
        <v>0.19</v>
      </c>
      <c r="AA195" s="593">
        <f ca="1" t="shared" si="35"/>
        <v>1</v>
      </c>
      <c r="AB195" s="590">
        <f>IF(AA195=0,E108-Z195,E108+Z195)</f>
        <v>1.8599999999999999</v>
      </c>
      <c r="AC195" s="593">
        <f ca="1" t="shared" si="32"/>
        <v>0</v>
      </c>
      <c r="AD195" s="592">
        <f ca="1" t="shared" si="36"/>
        <v>0.01</v>
      </c>
      <c r="AE195" s="590">
        <f t="shared" si="37"/>
        <v>0.94116</v>
      </c>
      <c r="AF195" s="592">
        <f ca="1" t="shared" si="38"/>
        <v>0.07</v>
      </c>
      <c r="AG195" s="590">
        <f>INT((E109+AE195*(AB195-1.669))*100)/100</f>
        <v>1.85</v>
      </c>
      <c r="AH195" s="593">
        <f ca="1" t="shared" si="33"/>
        <v>1</v>
      </c>
      <c r="AI195" s="590">
        <f t="shared" si="39"/>
        <v>1.81</v>
      </c>
      <c r="AJ195" s="590">
        <f ca="1" t="shared" si="40"/>
        <v>8</v>
      </c>
      <c r="AK195" s="590">
        <f ca="1" t="shared" si="41"/>
        <v>0</v>
      </c>
      <c r="AL195" s="590">
        <f t="shared" si="42"/>
        <v>81.7</v>
      </c>
      <c r="AM195" s="590">
        <f t="shared" si="43"/>
        <v>73.7</v>
      </c>
      <c r="AN195" s="590">
        <f ca="1" t="shared" si="44"/>
        <v>9</v>
      </c>
      <c r="AO195" s="590">
        <f ca="1" t="shared" si="45"/>
        <v>0</v>
      </c>
      <c r="AP195" s="590">
        <f t="shared" si="46"/>
        <v>81</v>
      </c>
      <c r="AQ195" s="590">
        <f t="shared" si="47"/>
        <v>72</v>
      </c>
    </row>
    <row r="196" spans="1:43" ht="12.75">
      <c r="A196" s="357">
        <v>79</v>
      </c>
      <c r="B196" s="376" t="str">
        <f>IF(E112=1,AB196,"       Genere")</f>
        <v>       Genere</v>
      </c>
      <c r="C196" s="377" t="str">
        <f>IF(E112=1,AM196,"    Gener")</f>
        <v>    Gener</v>
      </c>
      <c r="D196" s="377" t="str">
        <f>IF(E112=1,AI196,"    Gener")</f>
        <v>    Gener</v>
      </c>
      <c r="E196" s="377" t="str">
        <f>IF(E112=1,AQ196,"    Gener")</f>
        <v>    Gener</v>
      </c>
      <c r="Z196" s="592">
        <f ca="1" t="shared" si="34"/>
        <v>0.01</v>
      </c>
      <c r="AA196" s="593">
        <f ca="1" t="shared" si="35"/>
        <v>0</v>
      </c>
      <c r="AB196" s="590">
        <f>IF(AA196=0,E108-Z196,E108+Z196)</f>
        <v>1.66</v>
      </c>
      <c r="AC196" s="593">
        <f ca="1" t="shared" si="32"/>
        <v>0</v>
      </c>
      <c r="AD196" s="592">
        <f ca="1" t="shared" si="36"/>
        <v>0.02</v>
      </c>
      <c r="AE196" s="590">
        <f t="shared" si="37"/>
        <v>0.82336</v>
      </c>
      <c r="AF196" s="592">
        <f ca="1" t="shared" si="38"/>
        <v>0.04</v>
      </c>
      <c r="AG196" s="590">
        <f>INT((E109+AE196*(AB196-1.669))*100)/100</f>
        <v>1.67</v>
      </c>
      <c r="AH196" s="593">
        <f ca="1" t="shared" si="33"/>
        <v>0</v>
      </c>
      <c r="AI196" s="590">
        <f t="shared" si="39"/>
        <v>1.68</v>
      </c>
      <c r="AJ196" s="590">
        <f ca="1" t="shared" si="40"/>
        <v>18</v>
      </c>
      <c r="AK196" s="590">
        <f ca="1" t="shared" si="41"/>
        <v>0</v>
      </c>
      <c r="AL196" s="590">
        <f t="shared" si="42"/>
        <v>71.1</v>
      </c>
      <c r="AM196" s="590">
        <f t="shared" si="43"/>
        <v>53.099999999999994</v>
      </c>
      <c r="AN196" s="590">
        <f ca="1" t="shared" si="44"/>
        <v>13</v>
      </c>
      <c r="AO196" s="590">
        <f ca="1" t="shared" si="45"/>
        <v>1</v>
      </c>
      <c r="AP196" s="590">
        <f t="shared" si="46"/>
        <v>74.1</v>
      </c>
      <c r="AQ196" s="590">
        <f t="shared" si="47"/>
        <v>87.1</v>
      </c>
    </row>
    <row r="197" spans="1:43" ht="12.75">
      <c r="A197" s="357">
        <v>80</v>
      </c>
      <c r="B197" s="376" t="str">
        <f>IF(E112=1,AB197,"       Genere")</f>
        <v>       Genere</v>
      </c>
      <c r="C197" s="377" t="str">
        <f>IF(E112=1,AM197,"    Gener")</f>
        <v>    Gener</v>
      </c>
      <c r="D197" s="377" t="str">
        <f>IF(E112=1,AI197,"    Gener")</f>
        <v>    Gener</v>
      </c>
      <c r="E197" s="377" t="str">
        <f>IF(E112=1,AQ197,"    Gener")</f>
        <v>    Gener</v>
      </c>
      <c r="Z197" s="592">
        <f ca="1" t="shared" si="34"/>
        <v>0.17</v>
      </c>
      <c r="AA197" s="593">
        <f ca="1" t="shared" si="35"/>
        <v>1</v>
      </c>
      <c r="AB197" s="590">
        <f>IF(AA197=0,E108-Z197,E108+Z197)</f>
        <v>1.8399999999999999</v>
      </c>
      <c r="AC197" s="593">
        <f ca="1" t="shared" si="32"/>
        <v>0</v>
      </c>
      <c r="AD197" s="592">
        <f ca="1" t="shared" si="36"/>
        <v>0.01</v>
      </c>
      <c r="AE197" s="590">
        <f t="shared" si="37"/>
        <v>0.93104</v>
      </c>
      <c r="AF197" s="592">
        <f ca="1" t="shared" si="38"/>
        <v>0.23</v>
      </c>
      <c r="AG197" s="590">
        <f>INT((E109+AE197*(AB197-1.669))*100)/100</f>
        <v>1.83</v>
      </c>
      <c r="AH197" s="593">
        <f ca="1" t="shared" si="33"/>
        <v>1</v>
      </c>
      <c r="AI197" s="590">
        <f t="shared" si="39"/>
        <v>1.71</v>
      </c>
      <c r="AJ197" s="590">
        <f ca="1" t="shared" si="40"/>
        <v>12</v>
      </c>
      <c r="AK197" s="590">
        <f ca="1" t="shared" si="41"/>
        <v>0</v>
      </c>
      <c r="AL197" s="590">
        <f t="shared" si="42"/>
        <v>80.6</v>
      </c>
      <c r="AM197" s="590">
        <f t="shared" si="43"/>
        <v>68.6</v>
      </c>
      <c r="AN197" s="590">
        <f ca="1" t="shared" si="44"/>
        <v>18</v>
      </c>
      <c r="AO197" s="590">
        <f ca="1" t="shared" si="45"/>
        <v>0</v>
      </c>
      <c r="AP197" s="590">
        <f t="shared" si="46"/>
        <v>75.7</v>
      </c>
      <c r="AQ197" s="590">
        <f t="shared" si="47"/>
        <v>57.7</v>
      </c>
    </row>
    <row r="198" spans="1:43" ht="12.75">
      <c r="A198" s="357">
        <v>81</v>
      </c>
      <c r="B198" s="376" t="str">
        <f>IF(E112=1,AB198,"       Genere")</f>
        <v>       Genere</v>
      </c>
      <c r="C198" s="377" t="str">
        <f>IF(E112=1,AM198,"    Gener")</f>
        <v>    Gener</v>
      </c>
      <c r="D198" s="377" t="str">
        <f>IF(E112=1,AI198,"    Gener")</f>
        <v>    Gener</v>
      </c>
      <c r="E198" s="377" t="str">
        <f>IF(E112=1,AQ198,"    Gener")</f>
        <v>    Gener</v>
      </c>
      <c r="Z198" s="592">
        <f ca="1" t="shared" si="34"/>
        <v>0.2</v>
      </c>
      <c r="AA198" s="593">
        <f ca="1" t="shared" si="35"/>
        <v>0</v>
      </c>
      <c r="AB198" s="590">
        <f>IF(AA198=0,E108-Z198,E108+Z198)</f>
        <v>1.47</v>
      </c>
      <c r="AC198" s="593">
        <f ca="1" t="shared" si="32"/>
        <v>1</v>
      </c>
      <c r="AD198" s="592">
        <f ca="1" t="shared" si="36"/>
        <v>0.02</v>
      </c>
      <c r="AE198" s="590">
        <f t="shared" si="37"/>
        <v>0.7879200000000001</v>
      </c>
      <c r="AF198" s="592">
        <f ca="1" t="shared" si="38"/>
        <v>0.01</v>
      </c>
      <c r="AG198" s="590">
        <f>INT((E109+AE198*(AB198-1.669))*100)/100</f>
        <v>1.52</v>
      </c>
      <c r="AH198" s="593">
        <f ca="1" t="shared" si="33"/>
        <v>1</v>
      </c>
      <c r="AI198" s="590">
        <f t="shared" si="39"/>
        <v>1.52</v>
      </c>
      <c r="AJ198" s="590">
        <f ca="1" t="shared" si="40"/>
        <v>12</v>
      </c>
      <c r="AK198" s="590">
        <f ca="1" t="shared" si="41"/>
        <v>1</v>
      </c>
      <c r="AL198" s="590">
        <f t="shared" si="42"/>
        <v>61</v>
      </c>
      <c r="AM198" s="590">
        <f t="shared" si="43"/>
        <v>73</v>
      </c>
      <c r="AN198" s="590">
        <f ca="1" t="shared" si="44"/>
        <v>14</v>
      </c>
      <c r="AO198" s="590">
        <f ca="1" t="shared" si="45"/>
        <v>1</v>
      </c>
      <c r="AP198" s="590">
        <f t="shared" si="46"/>
        <v>65.7</v>
      </c>
      <c r="AQ198" s="590">
        <f t="shared" si="47"/>
        <v>79.7</v>
      </c>
    </row>
    <row r="199" spans="1:43" ht="12.75">
      <c r="A199" s="357">
        <v>82</v>
      </c>
      <c r="B199" s="376" t="str">
        <f>IF(E112=1,AB199,"       Genere")</f>
        <v>       Genere</v>
      </c>
      <c r="C199" s="377" t="str">
        <f>IF(E112=1,AM199,"    Gener")</f>
        <v>    Gener</v>
      </c>
      <c r="D199" s="377" t="str">
        <f>IF(E112=1,AI199,"    Gener")</f>
        <v>    Gener</v>
      </c>
      <c r="E199" s="377" t="str">
        <f>IF(E112=1,AQ199,"    Gener")</f>
        <v>    Gener</v>
      </c>
      <c r="Z199" s="592">
        <f ca="1" t="shared" si="34"/>
        <v>0.13</v>
      </c>
      <c r="AA199" s="593">
        <f ca="1" t="shared" si="35"/>
        <v>1</v>
      </c>
      <c r="AB199" s="590">
        <f>IF(AA199=0,E108-Z199,E108+Z199)</f>
        <v>1.7999999999999998</v>
      </c>
      <c r="AC199" s="593">
        <f ca="1" t="shared" si="32"/>
        <v>0</v>
      </c>
      <c r="AD199" s="592">
        <f ca="1" t="shared" si="36"/>
        <v>0.02</v>
      </c>
      <c r="AE199" s="590">
        <f t="shared" si="37"/>
        <v>0.8927999999999999</v>
      </c>
      <c r="AF199" s="592">
        <f ca="1" t="shared" si="38"/>
        <v>0.22</v>
      </c>
      <c r="AG199" s="590">
        <f>INT((E109+AE199*(AB199-1.669))*100)/100</f>
        <v>1.79</v>
      </c>
      <c r="AH199" s="593">
        <f ca="1" t="shared" si="33"/>
        <v>0</v>
      </c>
      <c r="AI199" s="590">
        <f t="shared" si="39"/>
        <v>1.68</v>
      </c>
      <c r="AJ199" s="590">
        <f ca="1" t="shared" si="40"/>
        <v>14</v>
      </c>
      <c r="AK199" s="590">
        <f ca="1" t="shared" si="41"/>
        <v>0</v>
      </c>
      <c r="AL199" s="590">
        <f t="shared" si="42"/>
        <v>78.5</v>
      </c>
      <c r="AM199" s="590">
        <f t="shared" si="43"/>
        <v>64.5</v>
      </c>
      <c r="AN199" s="590">
        <f ca="1" t="shared" si="44"/>
        <v>4</v>
      </c>
      <c r="AO199" s="590">
        <f ca="1" t="shared" si="45"/>
        <v>1</v>
      </c>
      <c r="AP199" s="590">
        <f t="shared" si="46"/>
        <v>74.1</v>
      </c>
      <c r="AQ199" s="590">
        <f t="shared" si="47"/>
        <v>78.1</v>
      </c>
    </row>
    <row r="200" spans="1:43" ht="12.75">
      <c r="A200" s="357">
        <v>83</v>
      </c>
      <c r="B200" s="376" t="str">
        <f>IF(E112=1,AB200,"       Genere")</f>
        <v>       Genere</v>
      </c>
      <c r="C200" s="377" t="str">
        <f>IF(E112=1,AM200,"    Gener")</f>
        <v>    Gener</v>
      </c>
      <c r="D200" s="377" t="str">
        <f>IF(E112=1,AI200,"    Gener")</f>
        <v>    Gener</v>
      </c>
      <c r="E200" s="377" t="str">
        <f>IF(E112=1,AQ200,"    Gener")</f>
        <v>    Gener</v>
      </c>
      <c r="Z200" s="592">
        <f ca="1" t="shared" si="34"/>
        <v>0</v>
      </c>
      <c r="AA200" s="593">
        <f ca="1" t="shared" si="35"/>
        <v>0</v>
      </c>
      <c r="AB200" s="590">
        <f>IF(AA200=0,E108-Z200,E108+Z200)</f>
        <v>1.67</v>
      </c>
      <c r="AC200" s="593">
        <f ca="1" t="shared" si="32"/>
        <v>0</v>
      </c>
      <c r="AD200" s="592">
        <f ca="1" t="shared" si="36"/>
        <v>0</v>
      </c>
      <c r="AE200" s="590">
        <f t="shared" si="37"/>
        <v>0.86172</v>
      </c>
      <c r="AF200" s="592">
        <f ca="1" t="shared" si="38"/>
        <v>0.12</v>
      </c>
      <c r="AG200" s="590">
        <f>INT((E109+AE200*(AB200-1.669))*100)/100</f>
        <v>1.68</v>
      </c>
      <c r="AH200" s="593">
        <f ca="1" t="shared" si="33"/>
        <v>1</v>
      </c>
      <c r="AI200" s="590">
        <f t="shared" si="39"/>
        <v>1.73</v>
      </c>
      <c r="AJ200" s="590">
        <f ca="1" t="shared" si="40"/>
        <v>15</v>
      </c>
      <c r="AK200" s="590">
        <f ca="1" t="shared" si="41"/>
        <v>1</v>
      </c>
      <c r="AL200" s="590">
        <f t="shared" si="42"/>
        <v>71.6</v>
      </c>
      <c r="AM200" s="590">
        <f t="shared" si="43"/>
        <v>86.6</v>
      </c>
      <c r="AN200" s="590">
        <f ca="1" t="shared" si="44"/>
        <v>17</v>
      </c>
      <c r="AO200" s="590">
        <f ca="1" t="shared" si="45"/>
        <v>0</v>
      </c>
      <c r="AP200" s="590">
        <f t="shared" si="46"/>
        <v>76.8</v>
      </c>
      <c r="AQ200" s="590">
        <f t="shared" si="47"/>
        <v>59.8</v>
      </c>
    </row>
    <row r="201" spans="1:43" ht="12.75">
      <c r="A201" s="357">
        <v>84</v>
      </c>
      <c r="B201" s="376" t="str">
        <f>IF(E112=1,AB201,"       Genere")</f>
        <v>       Genere</v>
      </c>
      <c r="C201" s="377" t="str">
        <f>IF(E112=1,AM201,"    Gener")</f>
        <v>    Gener</v>
      </c>
      <c r="D201" s="377" t="str">
        <f>IF(E112=1,AI201,"    Gener")</f>
        <v>    Gener</v>
      </c>
      <c r="E201" s="377" t="str">
        <f>IF(E112=1,AQ201,"    Gener")</f>
        <v>    Gener</v>
      </c>
      <c r="Z201" s="592">
        <f ca="1" t="shared" si="34"/>
        <v>0.09</v>
      </c>
      <c r="AA201" s="593">
        <f ca="1" t="shared" si="35"/>
        <v>1</v>
      </c>
      <c r="AB201" s="590">
        <f>IF(AA201=0,E108-Z201,E108+Z201)</f>
        <v>1.76</v>
      </c>
      <c r="AC201" s="593">
        <f ca="1" t="shared" si="32"/>
        <v>0</v>
      </c>
      <c r="AD201" s="592">
        <f ca="1" t="shared" si="36"/>
        <v>0</v>
      </c>
      <c r="AE201" s="590">
        <f t="shared" si="37"/>
        <v>0.9081600000000001</v>
      </c>
      <c r="AF201" s="592">
        <f ca="1" t="shared" si="38"/>
        <v>0.04</v>
      </c>
      <c r="AG201" s="590">
        <f>INT((E109+AE201*(AB201-1.669))*100)/100</f>
        <v>1.76</v>
      </c>
      <c r="AH201" s="593">
        <f ca="1" t="shared" si="33"/>
        <v>1</v>
      </c>
      <c r="AI201" s="590">
        <f t="shared" si="39"/>
        <v>1.74</v>
      </c>
      <c r="AJ201" s="590">
        <f ca="1" t="shared" si="40"/>
        <v>0</v>
      </c>
      <c r="AK201" s="590">
        <f ca="1" t="shared" si="41"/>
        <v>1</v>
      </c>
      <c r="AL201" s="590">
        <f t="shared" si="42"/>
        <v>76.4</v>
      </c>
      <c r="AM201" s="590">
        <f t="shared" si="43"/>
        <v>76.4</v>
      </c>
      <c r="AN201" s="590">
        <f ca="1" t="shared" si="44"/>
        <v>10</v>
      </c>
      <c r="AO201" s="590">
        <f ca="1" t="shared" si="45"/>
        <v>0</v>
      </c>
      <c r="AP201" s="590">
        <f t="shared" si="46"/>
        <v>77.3</v>
      </c>
      <c r="AQ201" s="590">
        <f t="shared" si="47"/>
        <v>67.3</v>
      </c>
    </row>
    <row r="202" spans="1:43" ht="12.75">
      <c r="A202" s="367">
        <v>85</v>
      </c>
      <c r="B202" s="379" t="str">
        <f>IF(E112=1,AB202,"       Genere")</f>
        <v>       Genere</v>
      </c>
      <c r="C202" s="380" t="str">
        <f>IF(E112=1,AM202,"    Gener")</f>
        <v>    Gener</v>
      </c>
      <c r="D202" s="380" t="str">
        <f>IF(E112=1,AI202,"    Gener")</f>
        <v>    Gener</v>
      </c>
      <c r="E202" s="380" t="str">
        <f>IF(E112=1,AQ202,"    Gener")</f>
        <v>    Gener</v>
      </c>
      <c r="Z202" s="592">
        <f ca="1" t="shared" si="34"/>
        <v>0.07</v>
      </c>
      <c r="AA202" s="593">
        <f ca="1" t="shared" si="35"/>
        <v>1</v>
      </c>
      <c r="AB202" s="590">
        <f>IF(AA202=0,E108-Z202,E108+Z202)</f>
        <v>1.74</v>
      </c>
      <c r="AC202" s="593">
        <f ca="1" t="shared" si="32"/>
        <v>1</v>
      </c>
      <c r="AD202" s="592">
        <f ca="1" t="shared" si="36"/>
        <v>0</v>
      </c>
      <c r="AE202" s="590">
        <f t="shared" si="37"/>
        <v>0.89784</v>
      </c>
      <c r="AF202" s="592">
        <f ca="1" t="shared" si="38"/>
        <v>0.15</v>
      </c>
      <c r="AG202" s="590">
        <f>INT((E109+AE202*(AB202-1.669))*100)/100</f>
        <v>1.74</v>
      </c>
      <c r="AH202" s="593">
        <f ca="1" t="shared" si="33"/>
        <v>1</v>
      </c>
      <c r="AI202" s="590">
        <f t="shared" si="39"/>
        <v>1.66</v>
      </c>
      <c r="AJ202" s="590">
        <f ca="1" t="shared" si="40"/>
        <v>11</v>
      </c>
      <c r="AK202" s="590">
        <f ca="1" t="shared" si="41"/>
        <v>1</v>
      </c>
      <c r="AL202" s="590">
        <f t="shared" si="42"/>
        <v>75.3</v>
      </c>
      <c r="AM202" s="590">
        <f t="shared" si="43"/>
        <v>86.3</v>
      </c>
      <c r="AN202" s="590">
        <f ca="1" t="shared" si="44"/>
        <v>5</v>
      </c>
      <c r="AO202" s="590">
        <f ca="1" t="shared" si="45"/>
        <v>1</v>
      </c>
      <c r="AP202" s="590">
        <f t="shared" si="46"/>
        <v>73.1</v>
      </c>
      <c r="AQ202" s="590">
        <f t="shared" si="47"/>
        <v>78.1</v>
      </c>
    </row>
    <row r="203" ht="12.75"/>
    <row r="204" ht="12.75"/>
    <row r="205" ht="12.75">
      <c r="A205" s="352" t="s">
        <v>26</v>
      </c>
    </row>
    <row r="206" ht="12.75"/>
    <row r="207" ht="12.75"/>
    <row r="208" spans="1:11" ht="13.5" thickBot="1">
      <c r="A208" s="354" t="s">
        <v>27</v>
      </c>
      <c r="B208" s="355"/>
      <c r="C208" s="355"/>
      <c r="D208" s="392" t="s">
        <v>28</v>
      </c>
      <c r="E208" s="393" t="s">
        <v>29</v>
      </c>
      <c r="F208" s="636" t="s">
        <v>30</v>
      </c>
      <c r="G208" s="638"/>
      <c r="H208" s="638"/>
      <c r="I208" s="638"/>
      <c r="J208" s="637"/>
      <c r="K208" s="394" t="s">
        <v>144</v>
      </c>
    </row>
    <row r="209" spans="1:11" ht="14.25" thickBot="1" thickTop="1">
      <c r="A209" s="357" t="s">
        <v>31</v>
      </c>
      <c r="B209" s="358"/>
      <c r="C209" s="358"/>
      <c r="D209" s="227">
        <v>28</v>
      </c>
      <c r="E209" s="395" t="str">
        <f>IF(G_03=1,AVERAGE(C219:C278),"    Genere")</f>
        <v>    Genere</v>
      </c>
      <c r="F209" s="354">
        <v>45</v>
      </c>
      <c r="G209" s="392">
        <f>F209+15</f>
        <v>60</v>
      </c>
      <c r="H209" s="355">
        <f>G209+15</f>
        <v>75</v>
      </c>
      <c r="I209" s="392">
        <f>H209+15</f>
        <v>90</v>
      </c>
      <c r="J209" s="396">
        <f>I209+15</f>
        <v>105</v>
      </c>
      <c r="K209" s="386" t="s">
        <v>333</v>
      </c>
    </row>
    <row r="210" spans="1:11" ht="13.5" thickTop="1">
      <c r="A210" s="357" t="s">
        <v>32</v>
      </c>
      <c r="B210" s="358"/>
      <c r="C210" s="358"/>
      <c r="D210" s="227">
        <v>0.08</v>
      </c>
      <c r="E210" s="397" t="str">
        <f>IF(G_03=1,SLOPE(C219:C278,AB219:AB278),"    Genere")</f>
        <v>    Genere</v>
      </c>
      <c r="F210" s="358">
        <v>-2</v>
      </c>
      <c r="G210" s="361">
        <v>-1</v>
      </c>
      <c r="H210" s="358">
        <v>0</v>
      </c>
      <c r="I210" s="361">
        <v>1</v>
      </c>
      <c r="J210" s="398">
        <v>2</v>
      </c>
      <c r="K210" s="361">
        <f>F210^2+G210^2+H210^2+I210^2+J210^2</f>
        <v>10</v>
      </c>
    </row>
    <row r="211" spans="1:11" ht="12.75">
      <c r="A211" s="357" t="s">
        <v>33</v>
      </c>
      <c r="B211" s="358"/>
      <c r="C211" s="358"/>
      <c r="D211" s="227">
        <v>-0.5</v>
      </c>
      <c r="E211" s="397" t="str">
        <f>IF(G_03=1,SLOPE(C219:C278,AC219:AC278),"    Genere")</f>
        <v>    Genere</v>
      </c>
      <c r="F211" s="358">
        <v>2</v>
      </c>
      <c r="G211" s="361">
        <v>-1</v>
      </c>
      <c r="H211" s="358">
        <v>-2</v>
      </c>
      <c r="I211" s="361">
        <v>-1</v>
      </c>
      <c r="J211" s="398">
        <v>2</v>
      </c>
      <c r="K211" s="361">
        <f>F211^2+G211^2+H211^2+I211^2+J211^2</f>
        <v>14</v>
      </c>
    </row>
    <row r="212" spans="1:11" ht="12.75">
      <c r="A212" s="357" t="s">
        <v>34</v>
      </c>
      <c r="B212" s="358"/>
      <c r="C212" s="358"/>
      <c r="D212" s="227">
        <v>0.6</v>
      </c>
      <c r="E212" s="397" t="str">
        <f>IF(G_03=1,SLOPE(C219:C278,AD219:AD278),"    Genere")</f>
        <v>    Genere</v>
      </c>
      <c r="F212" s="358">
        <v>-1</v>
      </c>
      <c r="G212" s="361">
        <v>2</v>
      </c>
      <c r="H212" s="358">
        <v>0</v>
      </c>
      <c r="I212" s="361">
        <v>-2</v>
      </c>
      <c r="J212" s="398">
        <v>1</v>
      </c>
      <c r="K212" s="361">
        <f>F212^2+G212^2+H212^2+I212^2+J212^2</f>
        <v>10</v>
      </c>
    </row>
    <row r="213" spans="1:11" ht="13.5" thickBot="1">
      <c r="A213" s="363" t="s">
        <v>35</v>
      </c>
      <c r="B213" s="364"/>
      <c r="C213" s="364"/>
      <c r="D213" s="312">
        <v>0.75</v>
      </c>
      <c r="E213" s="399" t="str">
        <f>IF(G_03=1,SLOPE(C219:C278,AE219:AE278),"    Genere")</f>
        <v>    Genere</v>
      </c>
      <c r="F213" s="364">
        <v>1</v>
      </c>
      <c r="G213" s="365">
        <v>-4</v>
      </c>
      <c r="H213" s="364">
        <v>6</v>
      </c>
      <c r="I213" s="365">
        <v>-4</v>
      </c>
      <c r="J213" s="400">
        <v>1</v>
      </c>
      <c r="K213" s="387">
        <f>F213^2+G213^2+H213^2+I213^2+J213^2</f>
        <v>70</v>
      </c>
    </row>
    <row r="214" spans="1:10" ht="12.75">
      <c r="A214" s="367" t="s">
        <v>36</v>
      </c>
      <c r="B214" s="368"/>
      <c r="C214" s="368" t="s">
        <v>334</v>
      </c>
      <c r="D214" s="228">
        <v>0</v>
      </c>
      <c r="E214" s="368"/>
      <c r="F214" s="401" t="str">
        <f>IF(G_03=1,AVERAGE(C219:C230),"    Genere")</f>
        <v>    Genere</v>
      </c>
      <c r="G214" s="401" t="str">
        <f>IF(G_03=1,AVERAGE(C231:C242),"    Genere")</f>
        <v>    Genere</v>
      </c>
      <c r="H214" s="401" t="str">
        <f>IF(G_03=1,AVERAGE(C243:C254),"    Genere")</f>
        <v>    Genere</v>
      </c>
      <c r="I214" s="401" t="str">
        <f>IF(G_03=1,AVERAGE(C255:C266),"    Genere")</f>
        <v>    Genere</v>
      </c>
      <c r="J214" s="402" t="str">
        <f>IF(G_03=1,AVERAGE(C267:C278),"   Genere")</f>
        <v>   Genere</v>
      </c>
    </row>
    <row r="215" spans="6:10" ht="12.75">
      <c r="F215" s="378" t="str">
        <f>IF(G_03=1,(10000*F214*5)/F209,"    Genere")</f>
        <v>    Genere</v>
      </c>
      <c r="G215" s="378" t="str">
        <f>IF(G_03=1,(10000*G214*5)/G209,"    Genere")</f>
        <v>    Genere</v>
      </c>
      <c r="H215" s="378" t="str">
        <f>IF(G_03=1,(10000*H214*5)/H209,"    Genere")</f>
        <v>    Genere</v>
      </c>
      <c r="I215" s="378" t="str">
        <f>IF(G_03=1,(10000*I214*5)/I209,"    Genere")</f>
        <v>    Genere</v>
      </c>
      <c r="J215" s="378" t="str">
        <f>IF(G_03=1,(10000*J214*5)/J209,"    Genere")</f>
        <v>    Genere</v>
      </c>
    </row>
    <row r="216" ht="12.75">
      <c r="E216" s="403" t="s">
        <v>37</v>
      </c>
    </row>
    <row r="217" spans="1:27" ht="13.5" thickBot="1">
      <c r="A217" s="370" t="s">
        <v>38</v>
      </c>
      <c r="B217" s="394" t="s">
        <v>39</v>
      </c>
      <c r="C217" s="404" t="s">
        <v>40</v>
      </c>
      <c r="E217" s="374" t="s">
        <v>41</v>
      </c>
      <c r="F217" s="405" t="s">
        <v>42</v>
      </c>
      <c r="G217" s="356" t="s">
        <v>43</v>
      </c>
      <c r="H217" s="405" t="s">
        <v>44</v>
      </c>
      <c r="I217" s="356" t="s">
        <v>45</v>
      </c>
      <c r="J217" s="406" t="s">
        <v>46</v>
      </c>
      <c r="AA217" s="590">
        <v>3</v>
      </c>
    </row>
    <row r="218" spans="1:25" ht="14.25" thickBot="1" thickTop="1">
      <c r="A218" s="373" t="s">
        <v>47</v>
      </c>
      <c r="B218" s="374" t="s">
        <v>48</v>
      </c>
      <c r="C218" s="407" t="s">
        <v>49</v>
      </c>
      <c r="E218" s="361" t="s">
        <v>50</v>
      </c>
      <c r="F218" s="408" t="str">
        <f>IF(G_03=1,VAR(C219:C278)*G218,"    Genere")</f>
        <v>    Genere</v>
      </c>
      <c r="G218" s="409">
        <f>COUNT(C219:C278)-1</f>
        <v>-1</v>
      </c>
      <c r="H218" s="358"/>
      <c r="I218" s="361"/>
      <c r="J218" s="398"/>
      <c r="X218" s="594" t="s">
        <v>51</v>
      </c>
      <c r="Y218" s="594" t="s">
        <v>52</v>
      </c>
    </row>
    <row r="219" spans="1:33" ht="13.5" thickTop="1">
      <c r="A219" s="357">
        <v>1</v>
      </c>
      <c r="B219" s="361">
        <v>45</v>
      </c>
      <c r="C219" s="410" t="str">
        <f>IF(D214=1,AG219,"    Genere")</f>
        <v>    Genere</v>
      </c>
      <c r="E219" s="361" t="s">
        <v>53</v>
      </c>
      <c r="F219" s="408" t="str">
        <f>IF(G_03=1,(((F214*F210+G214*G210+H214*H210+I214*I210+J214*J210)*12)^2)/(K210*12),"    Genere")</f>
        <v>    Genere</v>
      </c>
      <c r="G219" s="361">
        <v>1</v>
      </c>
      <c r="H219" s="408" t="str">
        <f>IF(G_03=1,F219/G219,"    Genere")</f>
        <v>    Genere</v>
      </c>
      <c r="I219" s="397" t="str">
        <f>IF(G_03=1,H219/H223,"    Genere")</f>
        <v>    Genere</v>
      </c>
      <c r="J219" s="470" t="str">
        <f>IF(G_03=1,FDIST(I219,G219,G223),"    Genere")</f>
        <v>    Genere</v>
      </c>
      <c r="X219" s="590">
        <v>45</v>
      </c>
      <c r="Y219" s="590">
        <v>33.6</v>
      </c>
      <c r="Z219" s="590">
        <f ca="1">INT(RAND()*10/5)</f>
        <v>1</v>
      </c>
      <c r="AA219" s="595">
        <f ca="1">INT((RAND()*66)*100)/1000</f>
        <v>1.78</v>
      </c>
      <c r="AB219" s="593">
        <v>-2</v>
      </c>
      <c r="AC219" s="590">
        <v>2</v>
      </c>
      <c r="AD219" s="590">
        <v>-1</v>
      </c>
      <c r="AE219" s="590">
        <v>1</v>
      </c>
      <c r="AF219" s="590">
        <f>D209+D210*AB219+D211*AC219+D212*AD219+D213*AE219</f>
        <v>26.99</v>
      </c>
      <c r="AG219" s="590">
        <f>INT(IF(Z219=0,AF219-AA219,AF219+AA219)*1000)/1000</f>
        <v>28.77</v>
      </c>
    </row>
    <row r="220" spans="1:33" ht="12.75">
      <c r="A220" s="357">
        <v>2</v>
      </c>
      <c r="B220" s="361">
        <v>45</v>
      </c>
      <c r="C220" s="410" t="str">
        <f>IF(D214=1,AG220,"    Genere")</f>
        <v>    Genere</v>
      </c>
      <c r="E220" s="361" t="s">
        <v>54</v>
      </c>
      <c r="F220" s="408" t="str">
        <f>IF(G_03=1,(((F214*F211+G214*G211+H214*H211+I214*I211+J214*J211)*12)^2)/(K211*12),"    Genere")</f>
        <v>    Genere</v>
      </c>
      <c r="G220" s="361">
        <v>1</v>
      </c>
      <c r="H220" s="408" t="str">
        <f>IF(G_03=1,F220/G220,"    Genere")</f>
        <v>    Genere</v>
      </c>
      <c r="I220" s="397" t="str">
        <f>IF(G_03=1,H220/H223,"    Genere")</f>
        <v>    Genere</v>
      </c>
      <c r="J220" s="470" t="str">
        <f>IF(G_03=1,FDIST(I220,G220,G223),"    Genere")</f>
        <v>    Genere</v>
      </c>
      <c r="X220" s="590">
        <v>45</v>
      </c>
      <c r="Y220" s="590">
        <v>37.1</v>
      </c>
      <c r="Z220" s="590">
        <f aca="true" ca="1" t="shared" si="48" ref="Z220:Z278">INT(RAND()*10/5)</f>
        <v>0</v>
      </c>
      <c r="AA220" s="595">
        <f aca="true" ca="1" t="shared" si="49" ref="AA220:AA278">INT((RAND()*66)*100)/1000</f>
        <v>1.319</v>
      </c>
      <c r="AB220" s="593">
        <v>-2</v>
      </c>
      <c r="AC220" s="590">
        <v>2</v>
      </c>
      <c r="AD220" s="590">
        <v>-1</v>
      </c>
      <c r="AE220" s="590">
        <v>1</v>
      </c>
      <c r="AF220" s="590">
        <f>D209+D210*AB220+D211*AC220+D212*AD220+D213*AE220</f>
        <v>26.99</v>
      </c>
      <c r="AG220" s="590">
        <f aca="true" t="shared" si="50" ref="AG220:AG278">INT(IF(Z220=0,AF220-AA220,AF220+AA220)*1000)/1000</f>
        <v>25.671</v>
      </c>
    </row>
    <row r="221" spans="1:33" ht="12.75">
      <c r="A221" s="357">
        <v>3</v>
      </c>
      <c r="B221" s="361">
        <v>45</v>
      </c>
      <c r="C221" s="410" t="str">
        <f>IF(D214=1,AG221,"    Genere")</f>
        <v>    Genere</v>
      </c>
      <c r="E221" s="361" t="s">
        <v>55</v>
      </c>
      <c r="F221" s="408" t="str">
        <f>IF(G_03=1,(((F214*F212+G214*G212+H214*H212+I214*I212+J214*J212)*12)^2)/(K212*12),"    Genere")</f>
        <v>    Genere</v>
      </c>
      <c r="G221" s="361">
        <v>1</v>
      </c>
      <c r="H221" s="408" t="str">
        <f>IF(G_03=1,F221/G221,"    Genere")</f>
        <v>    Genere</v>
      </c>
      <c r="I221" s="397" t="str">
        <f>IF(G_03=1,H221/H223,"    Genere")</f>
        <v>    Genere</v>
      </c>
      <c r="J221" s="470" t="str">
        <f>IF(G_03=1,FDIST(I221,G221,G223),"    Genere")</f>
        <v>    Genere</v>
      </c>
      <c r="X221" s="590">
        <v>45</v>
      </c>
      <c r="Y221" s="590">
        <v>34.1</v>
      </c>
      <c r="Z221" s="590">
        <f ca="1" t="shared" si="48"/>
        <v>1</v>
      </c>
      <c r="AA221" s="595">
        <f ca="1" t="shared" si="49"/>
        <v>1.95</v>
      </c>
      <c r="AB221" s="593">
        <v>-2</v>
      </c>
      <c r="AC221" s="590">
        <v>2</v>
      </c>
      <c r="AD221" s="590">
        <v>-1</v>
      </c>
      <c r="AE221" s="590">
        <v>1</v>
      </c>
      <c r="AF221" s="590">
        <f>D209+D210*AB221+D211*AC221+D212*AD221+D213*AE221</f>
        <v>26.99</v>
      </c>
      <c r="AG221" s="590">
        <f t="shared" si="50"/>
        <v>28.94</v>
      </c>
    </row>
    <row r="222" spans="1:33" ht="12.75">
      <c r="A222" s="357">
        <v>4</v>
      </c>
      <c r="B222" s="361">
        <v>45</v>
      </c>
      <c r="C222" s="410" t="str">
        <f>IF(D214=1,AG222,"    Genere")</f>
        <v>    Genere</v>
      </c>
      <c r="E222" s="361" t="s">
        <v>56</v>
      </c>
      <c r="F222" s="408" t="str">
        <f>IF(G_03=1,(((F214*F213+G214*G213+H214*H213+I214*I213+J214*J213)*12)^2)/(K213*12),"    Genere")</f>
        <v>    Genere</v>
      </c>
      <c r="G222" s="361">
        <v>1</v>
      </c>
      <c r="H222" s="408" t="str">
        <f>IF(G_03=1,F222/G222,"    Genere")</f>
        <v>    Genere</v>
      </c>
      <c r="I222" s="397" t="str">
        <f>IF(G_03=1,H222/H223,"    Genere")</f>
        <v>    Genere</v>
      </c>
      <c r="J222" s="470" t="str">
        <f>IF(G_03=1,FDIST(I222,G222,G223),"    Genere")</f>
        <v>    Genere</v>
      </c>
      <c r="X222" s="590">
        <v>45</v>
      </c>
      <c r="Y222" s="590">
        <v>34.6</v>
      </c>
      <c r="Z222" s="590">
        <f ca="1" t="shared" si="48"/>
        <v>1</v>
      </c>
      <c r="AA222" s="595">
        <f ca="1" t="shared" si="49"/>
        <v>2.3</v>
      </c>
      <c r="AB222" s="593">
        <v>-2</v>
      </c>
      <c r="AC222" s="590">
        <v>2</v>
      </c>
      <c r="AD222" s="590">
        <v>-1</v>
      </c>
      <c r="AE222" s="590">
        <v>1</v>
      </c>
      <c r="AF222" s="590">
        <f>D209+D210*AB222+D211*AC222+D212*AD222+D213*AE222</f>
        <v>26.99</v>
      </c>
      <c r="AG222" s="590">
        <f t="shared" si="50"/>
        <v>29.29</v>
      </c>
    </row>
    <row r="223" spans="1:33" ht="12.75">
      <c r="A223" s="357">
        <v>5</v>
      </c>
      <c r="B223" s="361">
        <v>45</v>
      </c>
      <c r="C223" s="410" t="str">
        <f>IF(D214=1,AG223,"    Genere")</f>
        <v>    Genere</v>
      </c>
      <c r="E223" s="387" t="s">
        <v>57</v>
      </c>
      <c r="F223" s="411" t="str">
        <f>IF(G_03=1,F218-SUM(F219:F222),"    Genere")</f>
        <v>    Genere</v>
      </c>
      <c r="G223" s="412">
        <f>G218-SUM(G219:G222)</f>
        <v>-5</v>
      </c>
      <c r="H223" s="411" t="str">
        <f>IF(G_03=1,F223/G223,"    Genere")</f>
        <v>    Genere</v>
      </c>
      <c r="I223" s="387"/>
      <c r="J223" s="413"/>
      <c r="X223" s="590">
        <v>45</v>
      </c>
      <c r="Y223" s="590">
        <v>35.4</v>
      </c>
      <c r="Z223" s="590">
        <f ca="1" t="shared" si="48"/>
        <v>0</v>
      </c>
      <c r="AA223" s="595">
        <f ca="1" t="shared" si="49"/>
        <v>5.086</v>
      </c>
      <c r="AB223" s="593">
        <v>-2</v>
      </c>
      <c r="AC223" s="590">
        <v>2</v>
      </c>
      <c r="AD223" s="590">
        <v>-1</v>
      </c>
      <c r="AE223" s="590">
        <v>1</v>
      </c>
      <c r="AF223" s="590">
        <f>D209+D210*AB223+D211*AC223+D212*AD223+D213*AE223</f>
        <v>26.99</v>
      </c>
      <c r="AG223" s="590">
        <f t="shared" si="50"/>
        <v>21.904</v>
      </c>
    </row>
    <row r="224" spans="1:33" ht="12.75">
      <c r="A224" s="357">
        <v>6</v>
      </c>
      <c r="B224" s="361">
        <v>45</v>
      </c>
      <c r="C224" s="410" t="str">
        <f>IF(D214=1,AG224,"    Genere")</f>
        <v>    Genere</v>
      </c>
      <c r="X224" s="590">
        <v>45</v>
      </c>
      <c r="Y224" s="590">
        <v>36.1</v>
      </c>
      <c r="Z224" s="590">
        <f ca="1" t="shared" si="48"/>
        <v>1</v>
      </c>
      <c r="AA224" s="595">
        <f ca="1" t="shared" si="49"/>
        <v>0.96</v>
      </c>
      <c r="AB224" s="593">
        <v>-2</v>
      </c>
      <c r="AC224" s="590">
        <v>2</v>
      </c>
      <c r="AD224" s="590">
        <v>-1</v>
      </c>
      <c r="AE224" s="590">
        <v>1</v>
      </c>
      <c r="AF224" s="590">
        <f>D209+D210*AB224+D211*AC224+D212*AD224+D213*AE224</f>
        <v>26.99</v>
      </c>
      <c r="AG224" s="590">
        <f t="shared" si="50"/>
        <v>27.95</v>
      </c>
    </row>
    <row r="225" spans="1:33" ht="12.75">
      <c r="A225" s="357">
        <v>7</v>
      </c>
      <c r="B225" s="361">
        <v>45</v>
      </c>
      <c r="C225" s="410" t="str">
        <f>IF(D214=1,AG225,"    Genere")</f>
        <v>    Genere</v>
      </c>
      <c r="X225" s="590">
        <v>45</v>
      </c>
      <c r="Y225" s="590">
        <v>28</v>
      </c>
      <c r="Z225" s="590">
        <f ca="1" t="shared" si="48"/>
        <v>0</v>
      </c>
      <c r="AA225" s="595">
        <f ca="1" t="shared" si="49"/>
        <v>0.297</v>
      </c>
      <c r="AB225" s="593">
        <v>-2</v>
      </c>
      <c r="AC225" s="590">
        <v>2</v>
      </c>
      <c r="AD225" s="590">
        <v>-1</v>
      </c>
      <c r="AE225" s="590">
        <v>1</v>
      </c>
      <c r="AF225" s="590">
        <f>D209+D210*AB225+D211*AC225+D212*AD225+D213*AE225</f>
        <v>26.99</v>
      </c>
      <c r="AG225" s="590">
        <f t="shared" si="50"/>
        <v>26.693</v>
      </c>
    </row>
    <row r="226" spans="1:33" ht="12.75">
      <c r="A226" s="357">
        <v>8</v>
      </c>
      <c r="B226" s="361">
        <v>45</v>
      </c>
      <c r="C226" s="410" t="str">
        <f>IF(D214=1,AG226,"    Genere")</f>
        <v>    Genere</v>
      </c>
      <c r="X226" s="590">
        <v>45</v>
      </c>
      <c r="Y226" s="590">
        <v>25.5</v>
      </c>
      <c r="Z226" s="590">
        <f ca="1" t="shared" si="48"/>
        <v>1</v>
      </c>
      <c r="AA226" s="595">
        <f ca="1" t="shared" si="49"/>
        <v>5.011</v>
      </c>
      <c r="AB226" s="593">
        <v>-2</v>
      </c>
      <c r="AC226" s="590">
        <v>2</v>
      </c>
      <c r="AD226" s="590">
        <v>-1</v>
      </c>
      <c r="AE226" s="590">
        <v>1</v>
      </c>
      <c r="AF226" s="590">
        <f>D209+D210*AB226+D211*AC226+D212*AD226+D213*AE226</f>
        <v>26.99</v>
      </c>
      <c r="AG226" s="590">
        <f t="shared" si="50"/>
        <v>32.001</v>
      </c>
    </row>
    <row r="227" spans="1:33" ht="12.75">
      <c r="A227" s="357">
        <v>9</v>
      </c>
      <c r="B227" s="361">
        <v>45</v>
      </c>
      <c r="C227" s="410" t="str">
        <f>IF(D214=1,AG227,"    Genere")</f>
        <v>    Genere</v>
      </c>
      <c r="X227" s="590">
        <v>45</v>
      </c>
      <c r="Y227" s="590">
        <v>29.3</v>
      </c>
      <c r="Z227" s="590">
        <f ca="1" t="shared" si="48"/>
        <v>1</v>
      </c>
      <c r="AA227" s="595">
        <f ca="1" t="shared" si="49"/>
        <v>2.855</v>
      </c>
      <c r="AB227" s="593">
        <v>-2</v>
      </c>
      <c r="AC227" s="590">
        <v>2</v>
      </c>
      <c r="AD227" s="590">
        <v>-1</v>
      </c>
      <c r="AE227" s="590">
        <v>1</v>
      </c>
      <c r="AF227" s="590">
        <f>D209+D210*AB227+D211*AC227+D212*AD227+D213*AE227</f>
        <v>26.99</v>
      </c>
      <c r="AG227" s="590">
        <f t="shared" si="50"/>
        <v>29.845</v>
      </c>
    </row>
    <row r="228" spans="1:33" ht="12.75">
      <c r="A228" s="357">
        <v>10</v>
      </c>
      <c r="B228" s="361">
        <v>45</v>
      </c>
      <c r="C228" s="410" t="str">
        <f>IF(D214=1,AG228,"    Genere")</f>
        <v>    Genere</v>
      </c>
      <c r="X228" s="590">
        <v>45</v>
      </c>
      <c r="Y228" s="590">
        <v>29.4</v>
      </c>
      <c r="Z228" s="590">
        <f ca="1" t="shared" si="48"/>
        <v>0</v>
      </c>
      <c r="AA228" s="595">
        <f ca="1" t="shared" si="49"/>
        <v>2.407</v>
      </c>
      <c r="AB228" s="593">
        <v>-2</v>
      </c>
      <c r="AC228" s="590">
        <v>2</v>
      </c>
      <c r="AD228" s="590">
        <v>-1</v>
      </c>
      <c r="AE228" s="590">
        <v>1</v>
      </c>
      <c r="AF228" s="590">
        <f>D209+D210*AB228+D211*AC228+D212*AD228+D213*AE228</f>
        <v>26.99</v>
      </c>
      <c r="AG228" s="590">
        <f t="shared" si="50"/>
        <v>24.583</v>
      </c>
    </row>
    <row r="229" spans="1:33" ht="12.75">
      <c r="A229" s="357">
        <v>11</v>
      </c>
      <c r="B229" s="361">
        <v>45</v>
      </c>
      <c r="C229" s="410" t="str">
        <f>IF(D214=1,AG229,"    Genere")</f>
        <v>    Genere</v>
      </c>
      <c r="X229" s="590">
        <v>45</v>
      </c>
      <c r="Y229" s="590">
        <v>27.3</v>
      </c>
      <c r="Z229" s="590">
        <f ca="1" t="shared" si="48"/>
        <v>0</v>
      </c>
      <c r="AA229" s="595">
        <f ca="1" t="shared" si="49"/>
        <v>4.627</v>
      </c>
      <c r="AB229" s="593">
        <v>-2</v>
      </c>
      <c r="AC229" s="590">
        <v>2</v>
      </c>
      <c r="AD229" s="590">
        <v>-1</v>
      </c>
      <c r="AE229" s="590">
        <v>1</v>
      </c>
      <c r="AF229" s="590">
        <f>D209+D210*AB229+D211*AC229+D212*AD229+D213*AE229</f>
        <v>26.99</v>
      </c>
      <c r="AG229" s="590">
        <f t="shared" si="50"/>
        <v>22.363</v>
      </c>
    </row>
    <row r="230" spans="1:33" ht="12.75">
      <c r="A230" s="357">
        <v>12</v>
      </c>
      <c r="B230" s="361">
        <v>45</v>
      </c>
      <c r="C230" s="410" t="str">
        <f>IF(D214=1,AG230,"    Genere")</f>
        <v>    Genere</v>
      </c>
      <c r="X230" s="590">
        <v>45</v>
      </c>
      <c r="Y230" s="590">
        <v>28.3</v>
      </c>
      <c r="Z230" s="590">
        <f ca="1" t="shared" si="48"/>
        <v>1</v>
      </c>
      <c r="AA230" s="595">
        <f ca="1" t="shared" si="49"/>
        <v>1.58</v>
      </c>
      <c r="AB230" s="593">
        <v>-2</v>
      </c>
      <c r="AC230" s="590">
        <v>2</v>
      </c>
      <c r="AD230" s="590">
        <v>-1</v>
      </c>
      <c r="AE230" s="590">
        <v>1</v>
      </c>
      <c r="AF230" s="590">
        <f>D209+D210*AB230+D211*AC230+D212*AD230+D213*AE230</f>
        <v>26.99</v>
      </c>
      <c r="AG230" s="590">
        <f t="shared" si="50"/>
        <v>28.57</v>
      </c>
    </row>
    <row r="231" spans="1:33" ht="12.75">
      <c r="A231" s="357">
        <v>1</v>
      </c>
      <c r="B231" s="361">
        <v>60</v>
      </c>
      <c r="C231" s="410" t="str">
        <f>IF(D214=1,AG231,"    Genere")</f>
        <v>    Genere</v>
      </c>
      <c r="X231" s="590">
        <v>60</v>
      </c>
      <c r="Y231" s="590">
        <v>31.1</v>
      </c>
      <c r="Z231" s="590">
        <f ca="1" t="shared" si="48"/>
        <v>0</v>
      </c>
      <c r="AA231" s="595">
        <f ca="1" t="shared" si="49"/>
        <v>1.86</v>
      </c>
      <c r="AB231" s="593">
        <v>-1</v>
      </c>
      <c r="AC231" s="590">
        <v>-1</v>
      </c>
      <c r="AD231" s="590">
        <v>2</v>
      </c>
      <c r="AE231" s="590">
        <v>-4</v>
      </c>
      <c r="AF231" s="590">
        <f>D209+D210*AB231+D211*AC231+D212*AD231+D213*AE231</f>
        <v>26.62</v>
      </c>
      <c r="AG231" s="590">
        <f t="shared" si="50"/>
        <v>24.76</v>
      </c>
    </row>
    <row r="232" spans="1:33" ht="12.75">
      <c r="A232" s="357">
        <v>2</v>
      </c>
      <c r="B232" s="361">
        <v>60</v>
      </c>
      <c r="C232" s="410" t="str">
        <f>IF(D214=1,AG232,"    Genere")</f>
        <v>    Genere</v>
      </c>
      <c r="X232" s="590">
        <v>60</v>
      </c>
      <c r="Y232" s="590">
        <v>34.5</v>
      </c>
      <c r="Z232" s="590">
        <f ca="1" t="shared" si="48"/>
        <v>0</v>
      </c>
      <c r="AA232" s="595">
        <f ca="1" t="shared" si="49"/>
        <v>1.165</v>
      </c>
      <c r="AB232" s="593">
        <v>-1</v>
      </c>
      <c r="AC232" s="590">
        <v>-1</v>
      </c>
      <c r="AD232" s="590">
        <v>2</v>
      </c>
      <c r="AE232" s="590">
        <v>-4</v>
      </c>
      <c r="AF232" s="590">
        <f>D209+D210*AB232+D211*AC232+D212*AD232+D213*AE232</f>
        <v>26.62</v>
      </c>
      <c r="AG232" s="590">
        <f t="shared" si="50"/>
        <v>25.455</v>
      </c>
    </row>
    <row r="233" spans="1:33" ht="12.75">
      <c r="A233" s="357">
        <v>3</v>
      </c>
      <c r="B233" s="361">
        <v>60</v>
      </c>
      <c r="C233" s="410" t="str">
        <f>IF(D214=1,AG233,"    Genere")</f>
        <v>    Genere</v>
      </c>
      <c r="X233" s="590">
        <v>60</v>
      </c>
      <c r="Y233" s="590">
        <v>30.5</v>
      </c>
      <c r="Z233" s="590">
        <f ca="1" t="shared" si="48"/>
        <v>1</v>
      </c>
      <c r="AA233" s="595">
        <f ca="1" t="shared" si="49"/>
        <v>2.198</v>
      </c>
      <c r="AB233" s="593">
        <v>-1</v>
      </c>
      <c r="AC233" s="590">
        <v>-1</v>
      </c>
      <c r="AD233" s="590">
        <v>2</v>
      </c>
      <c r="AE233" s="590">
        <v>-4</v>
      </c>
      <c r="AF233" s="590">
        <f>D209+D210*AB233+D211*AC233+D212*AD233+D213*AE233</f>
        <v>26.62</v>
      </c>
      <c r="AG233" s="590">
        <f t="shared" si="50"/>
        <v>28.818</v>
      </c>
    </row>
    <row r="234" spans="1:33" ht="12.75">
      <c r="A234" s="357">
        <v>4</v>
      </c>
      <c r="B234" s="361">
        <v>60</v>
      </c>
      <c r="C234" s="410" t="str">
        <f>IF(D214=1,AG234,"    Genere")</f>
        <v>    Genere</v>
      </c>
      <c r="X234" s="590">
        <v>60</v>
      </c>
      <c r="Y234" s="590">
        <v>32.7</v>
      </c>
      <c r="Z234" s="590">
        <f ca="1" t="shared" si="48"/>
        <v>0</v>
      </c>
      <c r="AA234" s="595">
        <f ca="1" t="shared" si="49"/>
        <v>0.823</v>
      </c>
      <c r="AB234" s="593">
        <v>-1</v>
      </c>
      <c r="AC234" s="590">
        <v>-1</v>
      </c>
      <c r="AD234" s="590">
        <v>2</v>
      </c>
      <c r="AE234" s="590">
        <v>-4</v>
      </c>
      <c r="AF234" s="590">
        <f>D209+D210*AB234+D211*AC234+D212*AD234+D213*AE234</f>
        <v>26.62</v>
      </c>
      <c r="AG234" s="590">
        <f t="shared" si="50"/>
        <v>25.797</v>
      </c>
    </row>
    <row r="235" spans="1:33" ht="12.75">
      <c r="A235" s="357">
        <v>5</v>
      </c>
      <c r="B235" s="361">
        <v>60</v>
      </c>
      <c r="C235" s="410" t="str">
        <f>IF(D214=1,AG235,"    Genere")</f>
        <v>    Genere</v>
      </c>
      <c r="X235" s="590">
        <v>60</v>
      </c>
      <c r="Y235" s="590">
        <v>30.7</v>
      </c>
      <c r="Z235" s="590">
        <f ca="1" t="shared" si="48"/>
        <v>1</v>
      </c>
      <c r="AA235" s="595">
        <f ca="1" t="shared" si="49"/>
        <v>1.074</v>
      </c>
      <c r="AB235" s="593">
        <v>-1</v>
      </c>
      <c r="AC235" s="590">
        <v>-1</v>
      </c>
      <c r="AD235" s="590">
        <v>2</v>
      </c>
      <c r="AE235" s="590">
        <v>-4</v>
      </c>
      <c r="AF235" s="590">
        <f>D209+D210*AB235+D211*AC235+D212*AD235+D213*AE235</f>
        <v>26.62</v>
      </c>
      <c r="AG235" s="590">
        <f t="shared" si="50"/>
        <v>27.694</v>
      </c>
    </row>
    <row r="236" spans="1:33" ht="12.75">
      <c r="A236" s="357">
        <v>6</v>
      </c>
      <c r="B236" s="361">
        <v>60</v>
      </c>
      <c r="C236" s="410" t="str">
        <f>IF(D214=1,AG236,"    Genere")</f>
        <v>    Genere</v>
      </c>
      <c r="X236" s="590">
        <v>60</v>
      </c>
      <c r="Y236" s="590">
        <v>30.3</v>
      </c>
      <c r="Z236" s="590">
        <f ca="1" t="shared" si="48"/>
        <v>1</v>
      </c>
      <c r="AA236" s="595">
        <f ca="1" t="shared" si="49"/>
        <v>6.391</v>
      </c>
      <c r="AB236" s="593">
        <v>-1</v>
      </c>
      <c r="AC236" s="590">
        <v>-1</v>
      </c>
      <c r="AD236" s="590">
        <v>2</v>
      </c>
      <c r="AE236" s="590">
        <v>-4</v>
      </c>
      <c r="AF236" s="590">
        <f>D209+D210*AB236+D211*AC236+D212*AD236+D213*AE236</f>
        <v>26.62</v>
      </c>
      <c r="AG236" s="590">
        <f t="shared" si="50"/>
        <v>33.011</v>
      </c>
    </row>
    <row r="237" spans="1:33" ht="12.75">
      <c r="A237" s="357">
        <v>7</v>
      </c>
      <c r="B237" s="361">
        <v>60</v>
      </c>
      <c r="C237" s="410" t="str">
        <f>IF(D214=1,AG237,"    Genere")</f>
        <v>    Genere</v>
      </c>
      <c r="X237" s="590">
        <v>60</v>
      </c>
      <c r="Y237" s="590">
        <v>23.7</v>
      </c>
      <c r="Z237" s="590">
        <f ca="1" t="shared" si="48"/>
        <v>0</v>
      </c>
      <c r="AA237" s="595">
        <f ca="1" t="shared" si="49"/>
        <v>3.557</v>
      </c>
      <c r="AB237" s="593">
        <v>-1</v>
      </c>
      <c r="AC237" s="590">
        <v>-1</v>
      </c>
      <c r="AD237" s="590">
        <v>2</v>
      </c>
      <c r="AE237" s="590">
        <v>-4</v>
      </c>
      <c r="AF237" s="590">
        <f>D209+D210*AB237+D211*AC237+D212*AD237+D213*AE237</f>
        <v>26.62</v>
      </c>
      <c r="AG237" s="590">
        <f t="shared" si="50"/>
        <v>23.063</v>
      </c>
    </row>
    <row r="238" spans="1:33" ht="12.75">
      <c r="A238" s="357">
        <v>8</v>
      </c>
      <c r="B238" s="361">
        <v>60</v>
      </c>
      <c r="C238" s="410" t="str">
        <f>IF(D214=1,AG238,"    Genere")</f>
        <v>    Genere</v>
      </c>
      <c r="X238" s="590">
        <v>60</v>
      </c>
      <c r="Y238" s="590">
        <v>26.2</v>
      </c>
      <c r="Z238" s="590">
        <f ca="1" t="shared" si="48"/>
        <v>1</v>
      </c>
      <c r="AA238" s="595">
        <f ca="1" t="shared" si="49"/>
        <v>5.081</v>
      </c>
      <c r="AB238" s="593">
        <v>-1</v>
      </c>
      <c r="AC238" s="590">
        <v>-1</v>
      </c>
      <c r="AD238" s="590">
        <v>2</v>
      </c>
      <c r="AE238" s="590">
        <v>-4</v>
      </c>
      <c r="AF238" s="590">
        <f>D209+D210*AB238+D211*AC238+D212*AD238+D213*AE238</f>
        <v>26.62</v>
      </c>
      <c r="AG238" s="590">
        <f t="shared" si="50"/>
        <v>31.701</v>
      </c>
    </row>
    <row r="239" spans="1:33" ht="12.75">
      <c r="A239" s="357">
        <v>9</v>
      </c>
      <c r="B239" s="361">
        <v>60</v>
      </c>
      <c r="C239" s="410" t="str">
        <f>IF(D214=1,AG239,"    Genere")</f>
        <v>    Genere</v>
      </c>
      <c r="X239" s="590">
        <v>60</v>
      </c>
      <c r="Y239" s="590">
        <v>27</v>
      </c>
      <c r="Z239" s="590">
        <f ca="1" t="shared" si="48"/>
        <v>1</v>
      </c>
      <c r="AA239" s="595">
        <f ca="1" t="shared" si="49"/>
        <v>3.002</v>
      </c>
      <c r="AB239" s="593">
        <v>-1</v>
      </c>
      <c r="AC239" s="590">
        <v>-1</v>
      </c>
      <c r="AD239" s="590">
        <v>2</v>
      </c>
      <c r="AE239" s="590">
        <v>-4</v>
      </c>
      <c r="AF239" s="590">
        <f>D209+D210*AB239+D211*AC239+D212*AD239+D213*AE239</f>
        <v>26.62</v>
      </c>
      <c r="AG239" s="590">
        <f t="shared" si="50"/>
        <v>29.622</v>
      </c>
    </row>
    <row r="240" spans="1:33" ht="12.75">
      <c r="A240" s="357">
        <v>10</v>
      </c>
      <c r="B240" s="361">
        <v>60</v>
      </c>
      <c r="C240" s="410" t="str">
        <f>IF(D214=1,AG240,"    Genere")</f>
        <v>    Genere</v>
      </c>
      <c r="X240" s="590">
        <v>60</v>
      </c>
      <c r="Y240" s="590">
        <v>25.8</v>
      </c>
      <c r="Z240" s="590">
        <f ca="1" t="shared" si="48"/>
        <v>1</v>
      </c>
      <c r="AA240" s="595">
        <f ca="1" t="shared" si="49"/>
        <v>4.096</v>
      </c>
      <c r="AB240" s="593">
        <v>-1</v>
      </c>
      <c r="AC240" s="590">
        <v>-1</v>
      </c>
      <c r="AD240" s="590">
        <v>2</v>
      </c>
      <c r="AE240" s="590">
        <v>-4</v>
      </c>
      <c r="AF240" s="590">
        <f>D209+D210*AB240+D211*AC240+D212*AD240+D213*AE240</f>
        <v>26.62</v>
      </c>
      <c r="AG240" s="590">
        <f t="shared" si="50"/>
        <v>30.716</v>
      </c>
    </row>
    <row r="241" spans="1:33" ht="12.75">
      <c r="A241" s="357">
        <v>11</v>
      </c>
      <c r="B241" s="361">
        <v>60</v>
      </c>
      <c r="C241" s="410" t="str">
        <f>IF(D214=1,AG241,"    Genere")</f>
        <v>    Genere</v>
      </c>
      <c r="X241" s="590">
        <v>60</v>
      </c>
      <c r="Y241" s="590">
        <v>26.8</v>
      </c>
      <c r="Z241" s="590">
        <f ca="1" t="shared" si="48"/>
        <v>1</v>
      </c>
      <c r="AA241" s="595">
        <f ca="1" t="shared" si="49"/>
        <v>1.556</v>
      </c>
      <c r="AB241" s="593">
        <v>-1</v>
      </c>
      <c r="AC241" s="590">
        <v>-1</v>
      </c>
      <c r="AD241" s="590">
        <v>2</v>
      </c>
      <c r="AE241" s="590">
        <v>-4</v>
      </c>
      <c r="AF241" s="590">
        <f>D209+D210*AB241+D211*AC241+D212*AD241+D213*AE241</f>
        <v>26.62</v>
      </c>
      <c r="AG241" s="590">
        <f t="shared" si="50"/>
        <v>28.176</v>
      </c>
    </row>
    <row r="242" spans="1:33" ht="12.75">
      <c r="A242" s="357">
        <v>12</v>
      </c>
      <c r="B242" s="361">
        <v>60</v>
      </c>
      <c r="C242" s="410" t="str">
        <f>IF(D214=1,AG242,"    Genere")</f>
        <v>    Genere</v>
      </c>
      <c r="X242" s="590">
        <v>60</v>
      </c>
      <c r="Y242" s="590">
        <v>23.8</v>
      </c>
      <c r="Z242" s="590">
        <f ca="1" t="shared" si="48"/>
        <v>1</v>
      </c>
      <c r="AA242" s="595">
        <f ca="1" t="shared" si="49"/>
        <v>2.108</v>
      </c>
      <c r="AB242" s="593">
        <v>-1</v>
      </c>
      <c r="AC242" s="590">
        <v>-1</v>
      </c>
      <c r="AD242" s="590">
        <v>2</v>
      </c>
      <c r="AE242" s="590">
        <v>-4</v>
      </c>
      <c r="AF242" s="590">
        <f>D209+D210*AB242+D211*AC242+D212*AD242+D213*AE242</f>
        <v>26.62</v>
      </c>
      <c r="AG242" s="590">
        <f t="shared" si="50"/>
        <v>28.728</v>
      </c>
    </row>
    <row r="243" spans="1:33" ht="12.75">
      <c r="A243" s="357">
        <v>1</v>
      </c>
      <c r="B243" s="361">
        <v>75</v>
      </c>
      <c r="C243" s="410" t="str">
        <f>IF(D214=1,AG243,"    Genere")</f>
        <v>    Genere</v>
      </c>
      <c r="X243" s="590">
        <v>75</v>
      </c>
      <c r="Y243" s="590">
        <v>33</v>
      </c>
      <c r="Z243" s="590">
        <f ca="1" t="shared" si="48"/>
        <v>1</v>
      </c>
      <c r="AA243" s="595">
        <f ca="1" t="shared" si="49"/>
        <v>2.322</v>
      </c>
      <c r="AB243" s="593">
        <v>0</v>
      </c>
      <c r="AC243" s="590">
        <v>-2</v>
      </c>
      <c r="AD243" s="593">
        <v>0</v>
      </c>
      <c r="AE243" s="590">
        <v>6</v>
      </c>
      <c r="AF243" s="590">
        <f>D209+D210*AB243+D211*AC243+D212*AD243+D213*AE243</f>
        <v>33.5</v>
      </c>
      <c r="AG243" s="590">
        <f t="shared" si="50"/>
        <v>35.822</v>
      </c>
    </row>
    <row r="244" spans="1:33" ht="12.75">
      <c r="A244" s="357">
        <v>2</v>
      </c>
      <c r="B244" s="361">
        <v>75</v>
      </c>
      <c r="C244" s="410" t="str">
        <f>IF(D214=1,AG244,"    Genere")</f>
        <v>    Genere</v>
      </c>
      <c r="X244" s="590">
        <v>75</v>
      </c>
      <c r="Y244" s="590">
        <v>29.5</v>
      </c>
      <c r="Z244" s="590">
        <f ca="1" t="shared" si="48"/>
        <v>0</v>
      </c>
      <c r="AA244" s="595">
        <f ca="1" t="shared" si="49"/>
        <v>4.072</v>
      </c>
      <c r="AB244" s="593">
        <v>0</v>
      </c>
      <c r="AC244" s="590">
        <v>-2</v>
      </c>
      <c r="AD244" s="593">
        <v>0</v>
      </c>
      <c r="AE244" s="590">
        <v>6</v>
      </c>
      <c r="AF244" s="590">
        <f>D209+D210*AB244+D211*AC244+D212*AD244+D213*AE244</f>
        <v>33.5</v>
      </c>
      <c r="AG244" s="590">
        <f t="shared" si="50"/>
        <v>29.428</v>
      </c>
    </row>
    <row r="245" spans="1:33" ht="12.75">
      <c r="A245" s="357">
        <v>3</v>
      </c>
      <c r="B245" s="361">
        <v>75</v>
      </c>
      <c r="C245" s="410" t="str">
        <f>IF(D214=1,AG245,"    Genere")</f>
        <v>    Genere</v>
      </c>
      <c r="X245" s="590">
        <v>75</v>
      </c>
      <c r="Y245" s="590">
        <v>29.2</v>
      </c>
      <c r="Z245" s="590">
        <f ca="1" t="shared" si="48"/>
        <v>0</v>
      </c>
      <c r="AA245" s="595">
        <f ca="1" t="shared" si="49"/>
        <v>0.838</v>
      </c>
      <c r="AB245" s="593">
        <v>0</v>
      </c>
      <c r="AC245" s="590">
        <v>-2</v>
      </c>
      <c r="AD245" s="593">
        <v>0</v>
      </c>
      <c r="AE245" s="590">
        <v>6</v>
      </c>
      <c r="AF245" s="590">
        <f>D209+D210*AB245+D211*AC245+D212*AD245+D213*AE245</f>
        <v>33.5</v>
      </c>
      <c r="AG245" s="590">
        <f t="shared" si="50"/>
        <v>32.662</v>
      </c>
    </row>
    <row r="246" spans="1:33" ht="12.75">
      <c r="A246" s="357">
        <v>4</v>
      </c>
      <c r="B246" s="361">
        <v>75</v>
      </c>
      <c r="C246" s="410" t="str">
        <f>IF(D214=1,AG246,"    Genere")</f>
        <v>    Genere</v>
      </c>
      <c r="X246" s="590">
        <v>75</v>
      </c>
      <c r="Y246" s="590">
        <v>30.7</v>
      </c>
      <c r="Z246" s="590">
        <f ca="1" t="shared" si="48"/>
        <v>1</v>
      </c>
      <c r="AA246" s="595">
        <f ca="1" t="shared" si="49"/>
        <v>1.929</v>
      </c>
      <c r="AB246" s="593">
        <v>0</v>
      </c>
      <c r="AC246" s="590">
        <v>-2</v>
      </c>
      <c r="AD246" s="593">
        <v>0</v>
      </c>
      <c r="AE246" s="590">
        <v>6</v>
      </c>
      <c r="AF246" s="590">
        <f>D209+D210*AB246+D211*AC246+D212*AD246+D213*AE246</f>
        <v>33.5</v>
      </c>
      <c r="AG246" s="590">
        <f t="shared" si="50"/>
        <v>35.429</v>
      </c>
    </row>
    <row r="247" spans="1:33" ht="12.75">
      <c r="A247" s="357">
        <v>5</v>
      </c>
      <c r="B247" s="361">
        <v>75</v>
      </c>
      <c r="C247" s="410" t="str">
        <f>IF(D214=1,AG247,"    Genere")</f>
        <v>    Genere</v>
      </c>
      <c r="X247" s="590">
        <v>75</v>
      </c>
      <c r="Y247" s="590">
        <v>30.7</v>
      </c>
      <c r="Z247" s="590">
        <f ca="1" t="shared" si="48"/>
        <v>1</v>
      </c>
      <c r="AA247" s="595">
        <f ca="1" t="shared" si="49"/>
        <v>0.705</v>
      </c>
      <c r="AB247" s="593">
        <v>0</v>
      </c>
      <c r="AC247" s="590">
        <v>-2</v>
      </c>
      <c r="AD247" s="593">
        <v>0</v>
      </c>
      <c r="AE247" s="590">
        <v>6</v>
      </c>
      <c r="AF247" s="590">
        <f>D209+D210*AB247+D211*AC247+D212*AD247+D213*AE247</f>
        <v>33.5</v>
      </c>
      <c r="AG247" s="590">
        <f t="shared" si="50"/>
        <v>34.205</v>
      </c>
    </row>
    <row r="248" spans="1:33" ht="12.75">
      <c r="A248" s="357">
        <v>6</v>
      </c>
      <c r="B248" s="361">
        <v>75</v>
      </c>
      <c r="C248" s="410" t="str">
        <f>IF(D214=1,AG248,"    Genere")</f>
        <v>    Genere</v>
      </c>
      <c r="X248" s="590">
        <v>75</v>
      </c>
      <c r="Y248" s="590">
        <v>27.9</v>
      </c>
      <c r="Z248" s="590">
        <f ca="1" t="shared" si="48"/>
        <v>1</v>
      </c>
      <c r="AA248" s="595">
        <f ca="1" t="shared" si="49"/>
        <v>4.126</v>
      </c>
      <c r="AB248" s="593">
        <v>0</v>
      </c>
      <c r="AC248" s="590">
        <v>-2</v>
      </c>
      <c r="AD248" s="593">
        <v>0</v>
      </c>
      <c r="AE248" s="590">
        <v>6</v>
      </c>
      <c r="AF248" s="590">
        <f>D209+D210*AB248+D211*AC248+D212*AD248+D213*AE248</f>
        <v>33.5</v>
      </c>
      <c r="AG248" s="590">
        <f t="shared" si="50"/>
        <v>37.626</v>
      </c>
    </row>
    <row r="249" spans="1:33" ht="12.75">
      <c r="A249" s="357">
        <v>7</v>
      </c>
      <c r="B249" s="361">
        <v>75</v>
      </c>
      <c r="C249" s="410" t="str">
        <f>IF(D214=1,AG249,"    Genere")</f>
        <v>    Genere</v>
      </c>
      <c r="X249" s="590">
        <v>75</v>
      </c>
      <c r="Y249" s="590">
        <v>23.5</v>
      </c>
      <c r="Z249" s="590">
        <f ca="1" t="shared" si="48"/>
        <v>0</v>
      </c>
      <c r="AA249" s="595">
        <f ca="1" t="shared" si="49"/>
        <v>4.76</v>
      </c>
      <c r="AB249" s="593">
        <v>0</v>
      </c>
      <c r="AC249" s="590">
        <v>-2</v>
      </c>
      <c r="AD249" s="593">
        <v>0</v>
      </c>
      <c r="AE249" s="590">
        <v>6</v>
      </c>
      <c r="AF249" s="590">
        <f>D209+D210*AB249+D211*AC249+D212*AD249+D213*AE249</f>
        <v>33.5</v>
      </c>
      <c r="AG249" s="590">
        <f t="shared" si="50"/>
        <v>28.74</v>
      </c>
    </row>
    <row r="250" spans="1:33" ht="12.75">
      <c r="A250" s="357">
        <v>8</v>
      </c>
      <c r="B250" s="361">
        <v>75</v>
      </c>
      <c r="C250" s="410" t="str">
        <f>IF(D214=1,AG250,"    Genere")</f>
        <v>    Genere</v>
      </c>
      <c r="X250" s="590">
        <v>75</v>
      </c>
      <c r="Y250" s="590">
        <v>26.8</v>
      </c>
      <c r="Z250" s="590">
        <f ca="1" t="shared" si="48"/>
        <v>1</v>
      </c>
      <c r="AA250" s="595">
        <f ca="1" t="shared" si="49"/>
        <v>5.584</v>
      </c>
      <c r="AB250" s="593">
        <v>0</v>
      </c>
      <c r="AC250" s="590">
        <v>-2</v>
      </c>
      <c r="AD250" s="593">
        <v>0</v>
      </c>
      <c r="AE250" s="590">
        <v>6</v>
      </c>
      <c r="AF250" s="590">
        <f>D209+D210*AB250+D211*AC250+D212*AD250+D213*AE250</f>
        <v>33.5</v>
      </c>
      <c r="AG250" s="590">
        <f t="shared" si="50"/>
        <v>39.084</v>
      </c>
    </row>
    <row r="251" spans="1:33" ht="12.75">
      <c r="A251" s="357">
        <v>9</v>
      </c>
      <c r="B251" s="361">
        <v>75</v>
      </c>
      <c r="C251" s="410" t="str">
        <f>IF(D214=1,AG251,"    Genere")</f>
        <v>    Genere</v>
      </c>
      <c r="X251" s="590">
        <v>75</v>
      </c>
      <c r="Y251" s="590">
        <v>24.9</v>
      </c>
      <c r="Z251" s="590">
        <f ca="1" t="shared" si="48"/>
        <v>0</v>
      </c>
      <c r="AA251" s="595">
        <f ca="1" t="shared" si="49"/>
        <v>3.271</v>
      </c>
      <c r="AB251" s="593">
        <v>0</v>
      </c>
      <c r="AC251" s="590">
        <v>-2</v>
      </c>
      <c r="AD251" s="593">
        <v>0</v>
      </c>
      <c r="AE251" s="590">
        <v>6</v>
      </c>
      <c r="AF251" s="590">
        <f>D209+D210*AB251+D211*AC251+D212*AD251+D213*AE251</f>
        <v>33.5</v>
      </c>
      <c r="AG251" s="590">
        <f t="shared" si="50"/>
        <v>30.229</v>
      </c>
    </row>
    <row r="252" spans="1:33" ht="12.75">
      <c r="A252" s="357">
        <v>10</v>
      </c>
      <c r="B252" s="361">
        <v>75</v>
      </c>
      <c r="C252" s="410" t="str">
        <f>IF(D214=1,AG252,"    Genere")</f>
        <v>    Genere</v>
      </c>
      <c r="X252" s="590">
        <v>75</v>
      </c>
      <c r="Y252" s="590">
        <v>23.3</v>
      </c>
      <c r="Z252" s="590">
        <f ca="1" t="shared" si="48"/>
        <v>0</v>
      </c>
      <c r="AA252" s="595">
        <f ca="1" t="shared" si="49"/>
        <v>2.867</v>
      </c>
      <c r="AB252" s="593">
        <v>0</v>
      </c>
      <c r="AC252" s="590">
        <v>-2</v>
      </c>
      <c r="AD252" s="593">
        <v>0</v>
      </c>
      <c r="AE252" s="590">
        <v>6</v>
      </c>
      <c r="AF252" s="590">
        <f>D209+D210*AB252+D211*AC252+D212*AD252+D213*AE252</f>
        <v>33.5</v>
      </c>
      <c r="AG252" s="590">
        <f t="shared" si="50"/>
        <v>30.633</v>
      </c>
    </row>
    <row r="253" spans="1:33" ht="12.75">
      <c r="A253" s="357">
        <v>11</v>
      </c>
      <c r="B253" s="361">
        <v>75</v>
      </c>
      <c r="C253" s="410" t="str">
        <f>IF(D214=1,AG253,"    Genere")</f>
        <v>    Genere</v>
      </c>
      <c r="X253" s="590">
        <v>75</v>
      </c>
      <c r="Y253" s="590">
        <v>21.4</v>
      </c>
      <c r="Z253" s="590">
        <f ca="1" t="shared" si="48"/>
        <v>0</v>
      </c>
      <c r="AA253" s="595">
        <f ca="1" t="shared" si="49"/>
        <v>3.635</v>
      </c>
      <c r="AB253" s="593">
        <v>0</v>
      </c>
      <c r="AC253" s="590">
        <v>-2</v>
      </c>
      <c r="AD253" s="593">
        <v>0</v>
      </c>
      <c r="AE253" s="590">
        <v>6</v>
      </c>
      <c r="AF253" s="590">
        <f>D209+D210*AB253+D211*AC253+D212*AD253+D213*AE253</f>
        <v>33.5</v>
      </c>
      <c r="AG253" s="590">
        <f t="shared" si="50"/>
        <v>29.865</v>
      </c>
    </row>
    <row r="254" spans="1:33" ht="12.75">
      <c r="A254" s="357">
        <v>12</v>
      </c>
      <c r="B254" s="361">
        <v>75</v>
      </c>
      <c r="C254" s="410" t="str">
        <f>IF(D214=1,AG254,"    Genere")</f>
        <v>    Genere</v>
      </c>
      <c r="X254" s="590">
        <v>75</v>
      </c>
      <c r="Y254" s="590">
        <v>22</v>
      </c>
      <c r="Z254" s="590">
        <f ca="1" t="shared" si="48"/>
        <v>0</v>
      </c>
      <c r="AA254" s="595">
        <f ca="1" t="shared" si="49"/>
        <v>4.221</v>
      </c>
      <c r="AB254" s="593">
        <v>0</v>
      </c>
      <c r="AC254" s="590">
        <v>-2</v>
      </c>
      <c r="AD254" s="593">
        <v>0</v>
      </c>
      <c r="AE254" s="590">
        <v>6</v>
      </c>
      <c r="AF254" s="590">
        <f>D209+D210*AB254+D211*AC254+D212*AD254+D213*AE254</f>
        <v>33.5</v>
      </c>
      <c r="AG254" s="590">
        <f t="shared" si="50"/>
        <v>29.279</v>
      </c>
    </row>
    <row r="255" spans="1:33" ht="12.75">
      <c r="A255" s="357">
        <v>1</v>
      </c>
      <c r="B255" s="361">
        <v>90</v>
      </c>
      <c r="C255" s="410" t="str">
        <f>IF(D214=1,AG255,"    Genere")</f>
        <v>    Genere</v>
      </c>
      <c r="X255" s="590">
        <v>90</v>
      </c>
      <c r="Y255" s="590">
        <v>28.4</v>
      </c>
      <c r="Z255" s="590">
        <f ca="1" t="shared" si="48"/>
        <v>0</v>
      </c>
      <c r="AA255" s="595">
        <f ca="1" t="shared" si="49"/>
        <v>3.727</v>
      </c>
      <c r="AB255" s="593">
        <v>1</v>
      </c>
      <c r="AC255" s="590">
        <v>-1</v>
      </c>
      <c r="AD255" s="593">
        <v>-2</v>
      </c>
      <c r="AE255" s="590">
        <v>-4</v>
      </c>
      <c r="AF255" s="590">
        <f>D209+D210*AB255+D211*AC255+D212*AD255+D213*AE255</f>
        <v>24.38</v>
      </c>
      <c r="AG255" s="590">
        <f t="shared" si="50"/>
        <v>20.653</v>
      </c>
    </row>
    <row r="256" spans="1:33" ht="12.75">
      <c r="A256" s="357">
        <v>2</v>
      </c>
      <c r="B256" s="361">
        <v>90</v>
      </c>
      <c r="C256" s="410" t="str">
        <f>IF(D214=1,AG256,"    Genere")</f>
        <v>    Genere</v>
      </c>
      <c r="X256" s="590">
        <v>90</v>
      </c>
      <c r="Y256" s="590">
        <v>29.9</v>
      </c>
      <c r="Z256" s="590">
        <f ca="1" t="shared" si="48"/>
        <v>1</v>
      </c>
      <c r="AA256" s="595">
        <f ca="1" t="shared" si="49"/>
        <v>0.812</v>
      </c>
      <c r="AB256" s="593">
        <v>1</v>
      </c>
      <c r="AC256" s="590">
        <v>-1</v>
      </c>
      <c r="AD256" s="593">
        <v>-2</v>
      </c>
      <c r="AE256" s="590">
        <v>-4</v>
      </c>
      <c r="AF256" s="590">
        <f>D209+D210*AB256+D211*AC256+D212*AD256+D213*AE256</f>
        <v>24.38</v>
      </c>
      <c r="AG256" s="590">
        <f t="shared" si="50"/>
        <v>25.192</v>
      </c>
    </row>
    <row r="257" spans="1:33" ht="12.75">
      <c r="A257" s="357">
        <v>3</v>
      </c>
      <c r="B257" s="361">
        <v>90</v>
      </c>
      <c r="C257" s="410" t="str">
        <f>IF(D214=1,AG257,"    Genere")</f>
        <v>    Genere</v>
      </c>
      <c r="X257" s="590">
        <v>90</v>
      </c>
      <c r="Y257" s="590">
        <v>31.6</v>
      </c>
      <c r="Z257" s="590">
        <f ca="1" t="shared" si="48"/>
        <v>0</v>
      </c>
      <c r="AA257" s="595">
        <f ca="1" t="shared" si="49"/>
        <v>3.653</v>
      </c>
      <c r="AB257" s="593">
        <v>1</v>
      </c>
      <c r="AC257" s="590">
        <v>-1</v>
      </c>
      <c r="AD257" s="593">
        <v>-2</v>
      </c>
      <c r="AE257" s="590">
        <v>-4</v>
      </c>
      <c r="AF257" s="590">
        <f>D209+D210*AB257+D211*AC257+D212*AD257+D213*AE257</f>
        <v>24.38</v>
      </c>
      <c r="AG257" s="590">
        <f t="shared" si="50"/>
        <v>20.727</v>
      </c>
    </row>
    <row r="258" spans="1:33" ht="12.75">
      <c r="A258" s="357">
        <v>4</v>
      </c>
      <c r="B258" s="361">
        <v>90</v>
      </c>
      <c r="C258" s="410" t="str">
        <f>IF(D214=1,AG258,"    Genere")</f>
        <v>    Genere</v>
      </c>
      <c r="X258" s="590">
        <v>90</v>
      </c>
      <c r="Y258" s="590">
        <v>32.3</v>
      </c>
      <c r="Z258" s="590">
        <f ca="1" t="shared" si="48"/>
        <v>1</v>
      </c>
      <c r="AA258" s="595">
        <f ca="1" t="shared" si="49"/>
        <v>5.784</v>
      </c>
      <c r="AB258" s="593">
        <v>1</v>
      </c>
      <c r="AC258" s="590">
        <v>-1</v>
      </c>
      <c r="AD258" s="593">
        <v>-2</v>
      </c>
      <c r="AE258" s="590">
        <v>-4</v>
      </c>
      <c r="AF258" s="590">
        <f>D209+D210*AB258+D211*AC258+D212*AD258+D213*AE258</f>
        <v>24.38</v>
      </c>
      <c r="AG258" s="590">
        <f t="shared" si="50"/>
        <v>30.164</v>
      </c>
    </row>
    <row r="259" spans="1:33" ht="12.75">
      <c r="A259" s="357">
        <v>5</v>
      </c>
      <c r="B259" s="361">
        <v>90</v>
      </c>
      <c r="C259" s="410" t="str">
        <f>IF(D214=1,AG259,"    Genere")</f>
        <v>    Genere</v>
      </c>
      <c r="X259" s="590">
        <v>90</v>
      </c>
      <c r="Y259" s="590">
        <v>28.1</v>
      </c>
      <c r="Z259" s="590">
        <f ca="1" t="shared" si="48"/>
        <v>1</v>
      </c>
      <c r="AA259" s="595">
        <f ca="1" t="shared" si="49"/>
        <v>4.356</v>
      </c>
      <c r="AB259" s="593">
        <v>1</v>
      </c>
      <c r="AC259" s="590">
        <v>-1</v>
      </c>
      <c r="AD259" s="593">
        <v>-2</v>
      </c>
      <c r="AE259" s="590">
        <v>-4</v>
      </c>
      <c r="AF259" s="590">
        <f>D209+D210*AB259+D211*AC259+D212*AD259+D213*AE259</f>
        <v>24.38</v>
      </c>
      <c r="AG259" s="590">
        <f t="shared" si="50"/>
        <v>28.736</v>
      </c>
    </row>
    <row r="260" spans="1:33" ht="12.75">
      <c r="A260" s="357">
        <v>6</v>
      </c>
      <c r="B260" s="361">
        <v>90</v>
      </c>
      <c r="C260" s="410" t="str">
        <f>IF(D214=1,AG260,"    Genere")</f>
        <v>    Genere</v>
      </c>
      <c r="X260" s="590">
        <v>90</v>
      </c>
      <c r="Y260" s="590">
        <v>26.9</v>
      </c>
      <c r="Z260" s="590">
        <f ca="1" t="shared" si="48"/>
        <v>0</v>
      </c>
      <c r="AA260" s="595">
        <f ca="1" t="shared" si="49"/>
        <v>6.5</v>
      </c>
      <c r="AB260" s="593">
        <v>1</v>
      </c>
      <c r="AC260" s="590">
        <v>-1</v>
      </c>
      <c r="AD260" s="593">
        <v>-2</v>
      </c>
      <c r="AE260" s="590">
        <v>-4</v>
      </c>
      <c r="AF260" s="590">
        <f>D209+D210*AB260+D211*AC260+D212*AD260+D213*AE260</f>
        <v>24.38</v>
      </c>
      <c r="AG260" s="590">
        <f t="shared" si="50"/>
        <v>17.88</v>
      </c>
    </row>
    <row r="261" spans="1:33" ht="12.75">
      <c r="A261" s="357">
        <v>7</v>
      </c>
      <c r="B261" s="361">
        <v>90</v>
      </c>
      <c r="C261" s="410" t="str">
        <f>IF(D214=1,AG261,"    Genere")</f>
        <v>    Genere</v>
      </c>
      <c r="X261" s="590">
        <v>90</v>
      </c>
      <c r="Y261" s="590">
        <v>25</v>
      </c>
      <c r="Z261" s="590">
        <f ca="1" t="shared" si="48"/>
        <v>1</v>
      </c>
      <c r="AA261" s="595">
        <f ca="1" t="shared" si="49"/>
        <v>6.557</v>
      </c>
      <c r="AB261" s="593">
        <v>1</v>
      </c>
      <c r="AC261" s="590">
        <v>-1</v>
      </c>
      <c r="AD261" s="593">
        <v>-2</v>
      </c>
      <c r="AE261" s="590">
        <v>-4</v>
      </c>
      <c r="AF261" s="590">
        <f>D209+D210*AB261+D211*AC261+D212*AD261+D213*AE261</f>
        <v>24.38</v>
      </c>
      <c r="AG261" s="590">
        <f t="shared" si="50"/>
        <v>30.937</v>
      </c>
    </row>
    <row r="262" spans="1:33" ht="12.75">
      <c r="A262" s="357">
        <v>8</v>
      </c>
      <c r="B262" s="361">
        <v>90</v>
      </c>
      <c r="C262" s="410" t="str">
        <f>IF(D214=1,AG262,"    Genere")</f>
        <v>    Genere</v>
      </c>
      <c r="X262" s="590">
        <v>90</v>
      </c>
      <c r="Y262" s="590">
        <v>25.3</v>
      </c>
      <c r="Z262" s="590">
        <f ca="1" t="shared" si="48"/>
        <v>0</v>
      </c>
      <c r="AA262" s="595">
        <f ca="1" t="shared" si="49"/>
        <v>3.886</v>
      </c>
      <c r="AB262" s="593">
        <v>1</v>
      </c>
      <c r="AC262" s="590">
        <v>-1</v>
      </c>
      <c r="AD262" s="593">
        <v>-2</v>
      </c>
      <c r="AE262" s="590">
        <v>-4</v>
      </c>
      <c r="AF262" s="590">
        <f>D209+D210*AB262+D211*AC262+D212*AD262+D213*AE262</f>
        <v>24.38</v>
      </c>
      <c r="AG262" s="590">
        <f t="shared" si="50"/>
        <v>20.494</v>
      </c>
    </row>
    <row r="263" spans="1:33" ht="12.75">
      <c r="A263" s="357">
        <v>9</v>
      </c>
      <c r="B263" s="361">
        <v>90</v>
      </c>
      <c r="C263" s="410" t="str">
        <f>IF(D214=1,AG263,"    Genere")</f>
        <v>    Genere</v>
      </c>
      <c r="X263" s="590">
        <v>90</v>
      </c>
      <c r="Y263" s="590">
        <v>25.6</v>
      </c>
      <c r="Z263" s="590">
        <f ca="1" t="shared" si="48"/>
        <v>1</v>
      </c>
      <c r="AA263" s="595">
        <f ca="1" t="shared" si="49"/>
        <v>4.262</v>
      </c>
      <c r="AB263" s="593">
        <v>1</v>
      </c>
      <c r="AC263" s="590">
        <v>-1</v>
      </c>
      <c r="AD263" s="593">
        <v>-2</v>
      </c>
      <c r="AE263" s="590">
        <v>-4</v>
      </c>
      <c r="AF263" s="590">
        <f>D209+D210*AB263+D211*AC263+D212*AD263+D213*AE263</f>
        <v>24.38</v>
      </c>
      <c r="AG263" s="590">
        <f t="shared" si="50"/>
        <v>28.642</v>
      </c>
    </row>
    <row r="264" spans="1:33" ht="12.75">
      <c r="A264" s="357">
        <v>10</v>
      </c>
      <c r="B264" s="361">
        <v>90</v>
      </c>
      <c r="C264" s="410" t="str">
        <f>IF(D214=1,AG264,"    Genere")</f>
        <v>    Genere</v>
      </c>
      <c r="X264" s="590">
        <v>90</v>
      </c>
      <c r="Y264" s="590">
        <v>26.4</v>
      </c>
      <c r="Z264" s="590">
        <f ca="1" t="shared" si="48"/>
        <v>1</v>
      </c>
      <c r="AA264" s="595">
        <f ca="1" t="shared" si="49"/>
        <v>3.722</v>
      </c>
      <c r="AB264" s="593">
        <v>1</v>
      </c>
      <c r="AC264" s="590">
        <v>-1</v>
      </c>
      <c r="AD264" s="593">
        <v>-2</v>
      </c>
      <c r="AE264" s="590">
        <v>-4</v>
      </c>
      <c r="AF264" s="590">
        <f>D209+D210*AB264+D211*AC264+D212*AD264+D213*AE264</f>
        <v>24.38</v>
      </c>
      <c r="AG264" s="590">
        <f t="shared" si="50"/>
        <v>28.102</v>
      </c>
    </row>
    <row r="265" spans="1:33" ht="12.75">
      <c r="A265" s="357">
        <v>11</v>
      </c>
      <c r="B265" s="361">
        <v>90</v>
      </c>
      <c r="C265" s="410" t="str">
        <f>IF(D214=1,AG265,"    Genere")</f>
        <v>    Genere</v>
      </c>
      <c r="X265" s="590">
        <v>90</v>
      </c>
      <c r="Y265" s="590">
        <v>24.6</v>
      </c>
      <c r="Z265" s="590">
        <f ca="1" t="shared" si="48"/>
        <v>0</v>
      </c>
      <c r="AA265" s="595">
        <f ca="1" t="shared" si="49"/>
        <v>3.214</v>
      </c>
      <c r="AB265" s="593">
        <v>1</v>
      </c>
      <c r="AC265" s="590">
        <v>-1</v>
      </c>
      <c r="AD265" s="593">
        <v>-2</v>
      </c>
      <c r="AE265" s="590">
        <v>-4</v>
      </c>
      <c r="AF265" s="590">
        <f>D209+D210*AB265+D211*AC265+D212*AD265+D213*AE265</f>
        <v>24.38</v>
      </c>
      <c r="AG265" s="590">
        <f t="shared" si="50"/>
        <v>21.166</v>
      </c>
    </row>
    <row r="266" spans="1:33" ht="12.75">
      <c r="A266" s="357">
        <v>12</v>
      </c>
      <c r="B266" s="361">
        <v>90</v>
      </c>
      <c r="C266" s="410" t="str">
        <f>IF(D214=1,AG266,"    Genere")</f>
        <v>    Genere</v>
      </c>
      <c r="X266" s="590">
        <v>90</v>
      </c>
      <c r="Y266" s="590">
        <v>24.5</v>
      </c>
      <c r="Z266" s="590">
        <f ca="1" t="shared" si="48"/>
        <v>1</v>
      </c>
      <c r="AA266" s="595">
        <f ca="1" t="shared" si="49"/>
        <v>1.403</v>
      </c>
      <c r="AB266" s="593">
        <v>1</v>
      </c>
      <c r="AC266" s="590">
        <v>-1</v>
      </c>
      <c r="AD266" s="593">
        <v>-2</v>
      </c>
      <c r="AE266" s="590">
        <v>-4</v>
      </c>
      <c r="AF266" s="590">
        <f>D209+D210*AB266+D211*AC266+D212*AD266+D213*AE266</f>
        <v>24.38</v>
      </c>
      <c r="AG266" s="590">
        <f t="shared" si="50"/>
        <v>25.783</v>
      </c>
    </row>
    <row r="267" spans="1:33" ht="12.75">
      <c r="A267" s="357">
        <v>1</v>
      </c>
      <c r="B267" s="361">
        <v>105</v>
      </c>
      <c r="C267" s="410" t="str">
        <f>IF(D214=1,AG267,"    Genere")</f>
        <v>    Genere</v>
      </c>
      <c r="X267" s="590">
        <v>105</v>
      </c>
      <c r="Y267" s="590">
        <v>31.4</v>
      </c>
      <c r="Z267" s="590">
        <f ca="1" t="shared" si="48"/>
        <v>0</v>
      </c>
      <c r="AA267" s="595">
        <f ca="1" t="shared" si="49"/>
        <v>6.156</v>
      </c>
      <c r="AB267" s="593">
        <v>2</v>
      </c>
      <c r="AC267" s="590">
        <v>2</v>
      </c>
      <c r="AD267" s="593">
        <v>1</v>
      </c>
      <c r="AE267" s="590">
        <v>1</v>
      </c>
      <c r="AF267" s="590">
        <f>D209+D210*AB267+D211*AC267+D212*AD267+D213*AE267</f>
        <v>28.51</v>
      </c>
      <c r="AG267" s="590">
        <f t="shared" si="50"/>
        <v>22.354</v>
      </c>
    </row>
    <row r="268" spans="1:33" ht="12.75">
      <c r="A268" s="357">
        <v>2</v>
      </c>
      <c r="B268" s="361">
        <v>105</v>
      </c>
      <c r="C268" s="410" t="str">
        <f>IF(D214=1,AG268,"    Genere")</f>
        <v>    Genere</v>
      </c>
      <c r="X268" s="590">
        <v>105</v>
      </c>
      <c r="Y268" s="590">
        <v>28.3</v>
      </c>
      <c r="Z268" s="590">
        <f ca="1" t="shared" si="48"/>
        <v>1</v>
      </c>
      <c r="AA268" s="595">
        <f ca="1" t="shared" si="49"/>
        <v>4.187</v>
      </c>
      <c r="AB268" s="593">
        <v>2</v>
      </c>
      <c r="AC268" s="590">
        <v>2</v>
      </c>
      <c r="AD268" s="593">
        <v>1</v>
      </c>
      <c r="AE268" s="590">
        <v>1</v>
      </c>
      <c r="AF268" s="590">
        <f>D209+D210*AB268+D211*AC268+D212*AD268+D213*AE268</f>
        <v>28.51</v>
      </c>
      <c r="AG268" s="590">
        <f t="shared" si="50"/>
        <v>32.697</v>
      </c>
    </row>
    <row r="269" spans="1:33" ht="12.75">
      <c r="A269" s="357">
        <v>3</v>
      </c>
      <c r="B269" s="361">
        <v>105</v>
      </c>
      <c r="C269" s="410" t="str">
        <f>IF(D214=1,AG269,"    Genere")</f>
        <v>    Genere</v>
      </c>
      <c r="X269" s="590">
        <v>105</v>
      </c>
      <c r="Y269" s="590">
        <v>28.9</v>
      </c>
      <c r="Z269" s="590">
        <f ca="1" t="shared" si="48"/>
        <v>0</v>
      </c>
      <c r="AA269" s="595">
        <f ca="1" t="shared" si="49"/>
        <v>4.308</v>
      </c>
      <c r="AB269" s="593">
        <v>2</v>
      </c>
      <c r="AC269" s="590">
        <v>2</v>
      </c>
      <c r="AD269" s="593">
        <v>1</v>
      </c>
      <c r="AE269" s="590">
        <v>1</v>
      </c>
      <c r="AF269" s="590">
        <f>D209+D210*AB269+D211*AC269+D212*AD269+D213*AE269</f>
        <v>28.51</v>
      </c>
      <c r="AG269" s="590">
        <f t="shared" si="50"/>
        <v>24.202</v>
      </c>
    </row>
    <row r="270" spans="1:33" ht="12.75">
      <c r="A270" s="357">
        <v>4</v>
      </c>
      <c r="B270" s="361">
        <v>105</v>
      </c>
      <c r="C270" s="410" t="str">
        <f>IF(D214=1,AG270,"    Genere")</f>
        <v>    Genere</v>
      </c>
      <c r="X270" s="590">
        <v>105</v>
      </c>
      <c r="Y270" s="590">
        <v>28.6</v>
      </c>
      <c r="Z270" s="590">
        <f ca="1" t="shared" si="48"/>
        <v>0</v>
      </c>
      <c r="AA270" s="595">
        <f ca="1" t="shared" si="49"/>
        <v>4.931</v>
      </c>
      <c r="AB270" s="593">
        <v>2</v>
      </c>
      <c r="AC270" s="590">
        <v>2</v>
      </c>
      <c r="AD270" s="593">
        <v>1</v>
      </c>
      <c r="AE270" s="590">
        <v>1</v>
      </c>
      <c r="AF270" s="590">
        <f>D209+D210*AB270+D211*AC270+D212*AD270+D213*AE270</f>
        <v>28.51</v>
      </c>
      <c r="AG270" s="590">
        <f t="shared" si="50"/>
        <v>23.579</v>
      </c>
    </row>
    <row r="271" spans="1:33" ht="12.75">
      <c r="A271" s="357">
        <v>5</v>
      </c>
      <c r="B271" s="361">
        <v>105</v>
      </c>
      <c r="C271" s="410" t="str">
        <f>IF(D214=1,AG271,"    Genere")</f>
        <v>    Genere</v>
      </c>
      <c r="X271" s="590">
        <v>105</v>
      </c>
      <c r="Y271" s="590">
        <v>18.5</v>
      </c>
      <c r="Z271" s="590">
        <f ca="1" t="shared" si="48"/>
        <v>1</v>
      </c>
      <c r="AA271" s="595">
        <f ca="1" t="shared" si="49"/>
        <v>3.229</v>
      </c>
      <c r="AB271" s="593">
        <v>2</v>
      </c>
      <c r="AC271" s="590">
        <v>2</v>
      </c>
      <c r="AD271" s="593">
        <v>1</v>
      </c>
      <c r="AE271" s="590">
        <v>1</v>
      </c>
      <c r="AF271" s="590">
        <f>D209+D210*AB271+D211*AC271+D212*AD271+D213*AE271</f>
        <v>28.51</v>
      </c>
      <c r="AG271" s="590">
        <f t="shared" si="50"/>
        <v>31.739</v>
      </c>
    </row>
    <row r="272" spans="1:33" ht="12.75">
      <c r="A272" s="357">
        <v>6</v>
      </c>
      <c r="B272" s="361">
        <v>105</v>
      </c>
      <c r="C272" s="410" t="str">
        <f>IF(D214=1,AG272,"    Genere")</f>
        <v>    Genere</v>
      </c>
      <c r="X272" s="590">
        <v>105</v>
      </c>
      <c r="Y272" s="590">
        <v>33.4</v>
      </c>
      <c r="Z272" s="590">
        <f ca="1" t="shared" si="48"/>
        <v>0</v>
      </c>
      <c r="AA272" s="595">
        <f ca="1" t="shared" si="49"/>
        <v>6.028</v>
      </c>
      <c r="AB272" s="593">
        <v>2</v>
      </c>
      <c r="AC272" s="590">
        <v>2</v>
      </c>
      <c r="AD272" s="593">
        <v>1</v>
      </c>
      <c r="AE272" s="590">
        <v>1</v>
      </c>
      <c r="AF272" s="590">
        <f>D209+D210*AB272+D211*AC272+D212*AD272+D213*AE272</f>
        <v>28.51</v>
      </c>
      <c r="AG272" s="590">
        <f t="shared" si="50"/>
        <v>22.482</v>
      </c>
    </row>
    <row r="273" spans="1:33" ht="12.75">
      <c r="A273" s="357">
        <v>7</v>
      </c>
      <c r="B273" s="361">
        <v>105</v>
      </c>
      <c r="C273" s="410" t="str">
        <f>IF(D214=1,AG273,"    Genere")</f>
        <v>    Genere</v>
      </c>
      <c r="X273" s="590">
        <v>105</v>
      </c>
      <c r="Y273" s="590">
        <v>25.7</v>
      </c>
      <c r="Z273" s="590">
        <f ca="1" t="shared" si="48"/>
        <v>0</v>
      </c>
      <c r="AA273" s="595">
        <f ca="1" t="shared" si="49"/>
        <v>2.234</v>
      </c>
      <c r="AB273" s="593">
        <v>2</v>
      </c>
      <c r="AC273" s="590">
        <v>2</v>
      </c>
      <c r="AD273" s="593">
        <v>1</v>
      </c>
      <c r="AE273" s="590">
        <v>1</v>
      </c>
      <c r="AF273" s="590">
        <f>D209+D210*AB273+D211*AC273+D212*AD273+D213*AE273</f>
        <v>28.51</v>
      </c>
      <c r="AG273" s="590">
        <f t="shared" si="50"/>
        <v>26.276</v>
      </c>
    </row>
    <row r="274" spans="1:33" ht="12.75">
      <c r="A274" s="357">
        <v>8</v>
      </c>
      <c r="B274" s="361">
        <v>105</v>
      </c>
      <c r="C274" s="410" t="str">
        <f>IF(D214=1,AG274,"    Genere")</f>
        <v>    Genere</v>
      </c>
      <c r="X274" s="590">
        <v>105</v>
      </c>
      <c r="Y274" s="590">
        <v>23.2</v>
      </c>
      <c r="Z274" s="590">
        <f ca="1" t="shared" si="48"/>
        <v>1</v>
      </c>
      <c r="AA274" s="595">
        <f ca="1" t="shared" si="49"/>
        <v>2.07</v>
      </c>
      <c r="AB274" s="593">
        <v>2</v>
      </c>
      <c r="AC274" s="590">
        <v>2</v>
      </c>
      <c r="AD274" s="593">
        <v>1</v>
      </c>
      <c r="AE274" s="590">
        <v>1</v>
      </c>
      <c r="AF274" s="590">
        <f>D209+D210*AB274+D211*AC274+D212*AD274+D213*AE274</f>
        <v>28.51</v>
      </c>
      <c r="AG274" s="590">
        <f t="shared" si="50"/>
        <v>30.58</v>
      </c>
    </row>
    <row r="275" spans="1:33" ht="12.75">
      <c r="A275" s="357">
        <v>9</v>
      </c>
      <c r="B275" s="361">
        <v>105</v>
      </c>
      <c r="C275" s="410" t="str">
        <f>IF(D214=1,AG275,"    Genere")</f>
        <v>    Genere</v>
      </c>
      <c r="X275" s="590">
        <v>105</v>
      </c>
      <c r="Y275" s="590">
        <v>23.4</v>
      </c>
      <c r="Z275" s="590">
        <f ca="1" t="shared" si="48"/>
        <v>0</v>
      </c>
      <c r="AA275" s="595">
        <f ca="1" t="shared" si="49"/>
        <v>5.187</v>
      </c>
      <c r="AB275" s="593">
        <v>2</v>
      </c>
      <c r="AC275" s="590">
        <v>2</v>
      </c>
      <c r="AD275" s="593">
        <v>1</v>
      </c>
      <c r="AE275" s="590">
        <v>1</v>
      </c>
      <c r="AF275" s="590">
        <f>D209+D210*AB275+D211*AC275+D212*AD275+D213*AE275</f>
        <v>28.51</v>
      </c>
      <c r="AG275" s="590">
        <f t="shared" si="50"/>
        <v>23.323</v>
      </c>
    </row>
    <row r="276" spans="1:33" ht="12.75">
      <c r="A276" s="357">
        <v>10</v>
      </c>
      <c r="B276" s="361">
        <v>105</v>
      </c>
      <c r="C276" s="410" t="str">
        <f>IF(D214=1,AG276,"    Genere")</f>
        <v>    Genere</v>
      </c>
      <c r="X276" s="590">
        <v>105</v>
      </c>
      <c r="Y276" s="590">
        <v>25.6</v>
      </c>
      <c r="Z276" s="590">
        <f ca="1" t="shared" si="48"/>
        <v>1</v>
      </c>
      <c r="AA276" s="595">
        <f ca="1" t="shared" si="49"/>
        <v>3.558</v>
      </c>
      <c r="AB276" s="593">
        <v>2</v>
      </c>
      <c r="AC276" s="590">
        <v>2</v>
      </c>
      <c r="AD276" s="593">
        <v>1</v>
      </c>
      <c r="AE276" s="590">
        <v>1</v>
      </c>
      <c r="AF276" s="590">
        <f>D209+D210*AB276+D211*AC276+D212*AD276+D213*AE276</f>
        <v>28.51</v>
      </c>
      <c r="AG276" s="590">
        <f t="shared" si="50"/>
        <v>32.068</v>
      </c>
    </row>
    <row r="277" spans="1:33" ht="12.75">
      <c r="A277" s="357">
        <v>11</v>
      </c>
      <c r="B277" s="361">
        <v>105</v>
      </c>
      <c r="C277" s="410" t="str">
        <f>IF(D214=1,AG277,"    Genere")</f>
        <v>    Genere</v>
      </c>
      <c r="X277" s="590">
        <v>105</v>
      </c>
      <c r="Y277" s="590">
        <v>24.5</v>
      </c>
      <c r="Z277" s="590">
        <f ca="1" t="shared" si="48"/>
        <v>1</v>
      </c>
      <c r="AA277" s="595">
        <f ca="1" t="shared" si="49"/>
        <v>0.172</v>
      </c>
      <c r="AB277" s="593">
        <v>2</v>
      </c>
      <c r="AC277" s="590">
        <v>2</v>
      </c>
      <c r="AD277" s="593">
        <v>1</v>
      </c>
      <c r="AE277" s="590">
        <v>1</v>
      </c>
      <c r="AF277" s="590">
        <f>D209+D210*AB277+D211*AC277+D212*AD277+D213*AE277</f>
        <v>28.51</v>
      </c>
      <c r="AG277" s="590">
        <f t="shared" si="50"/>
        <v>28.682</v>
      </c>
    </row>
    <row r="278" spans="1:33" ht="12.75">
      <c r="A278" s="367">
        <v>12</v>
      </c>
      <c r="B278" s="387">
        <v>105</v>
      </c>
      <c r="C278" s="414" t="str">
        <f>IF(D214=1,AG278,"    Genere")</f>
        <v>    Genere</v>
      </c>
      <c r="X278" s="590">
        <v>105</v>
      </c>
      <c r="Y278" s="590">
        <v>22.9</v>
      </c>
      <c r="Z278" s="590">
        <f ca="1" t="shared" si="48"/>
        <v>1</v>
      </c>
      <c r="AA278" s="595">
        <f ca="1" t="shared" si="49"/>
        <v>2.473</v>
      </c>
      <c r="AB278" s="593">
        <v>2</v>
      </c>
      <c r="AC278" s="590">
        <v>2</v>
      </c>
      <c r="AD278" s="593">
        <v>1</v>
      </c>
      <c r="AE278" s="590">
        <v>1</v>
      </c>
      <c r="AF278" s="590">
        <f>D209+D210*AB278+D211*AC278+D212*AD278+D213*AE278</f>
        <v>28.51</v>
      </c>
      <c r="AG278" s="590">
        <f t="shared" si="50"/>
        <v>30.983</v>
      </c>
    </row>
    <row r="279" spans="1:31" ht="12.75">
      <c r="A279" s="358"/>
      <c r="B279" s="415"/>
      <c r="C279" s="416"/>
      <c r="AA279" s="595"/>
      <c r="AB279" s="593">
        <f>SUM(AB219:AB278)</f>
        <v>0</v>
      </c>
      <c r="AC279" s="593">
        <f>SUM(AC219:AC278)</f>
        <v>0</v>
      </c>
      <c r="AD279" s="593">
        <f>SUM(AD219:AD278)</f>
        <v>0</v>
      </c>
      <c r="AE279" s="593">
        <f>SUM(AE219:AE278)</f>
        <v>0</v>
      </c>
    </row>
    <row r="280" spans="1:30" ht="12.75">
      <c r="A280" s="358"/>
      <c r="B280" s="415"/>
      <c r="C280" s="416"/>
      <c r="AA280" s="595"/>
      <c r="AB280" s="593"/>
      <c r="AD280" s="593"/>
    </row>
    <row r="281" spans="1:30" ht="12.75">
      <c r="A281" s="417" t="s">
        <v>58</v>
      </c>
      <c r="B281" s="415"/>
      <c r="C281" s="416"/>
      <c r="AA281" s="595"/>
      <c r="AB281" s="593"/>
      <c r="AD281" s="593"/>
    </row>
    <row r="282" spans="1:30" ht="12.75">
      <c r="A282" s="358"/>
      <c r="B282" s="415"/>
      <c r="C282" s="416"/>
      <c r="E282" s="636" t="s">
        <v>335</v>
      </c>
      <c r="F282" s="637"/>
      <c r="G282" s="636" t="s">
        <v>336</v>
      </c>
      <c r="H282" s="637"/>
      <c r="AA282" s="595"/>
      <c r="AB282" s="593"/>
      <c r="AD282" s="593"/>
    </row>
    <row r="283" spans="1:30" ht="13.5" thickBot="1">
      <c r="A283" s="354"/>
      <c r="B283" s="418"/>
      <c r="C283" s="419"/>
      <c r="D283" s="355"/>
      <c r="E283" s="356" t="s">
        <v>59</v>
      </c>
      <c r="F283" s="406" t="s">
        <v>60</v>
      </c>
      <c r="G283" s="356" t="s">
        <v>59</v>
      </c>
      <c r="H283" s="406" t="s">
        <v>60</v>
      </c>
      <c r="AA283" s="595"/>
      <c r="AB283" s="593"/>
      <c r="AD283" s="593"/>
    </row>
    <row r="284" spans="1:30" ht="13.5" thickTop="1">
      <c r="A284" s="420" t="s">
        <v>61</v>
      </c>
      <c r="B284" s="416"/>
      <c r="C284" s="358"/>
      <c r="D284" s="358"/>
      <c r="E284" s="27">
        <v>-6686</v>
      </c>
      <c r="F284" s="58">
        <v>-64307</v>
      </c>
      <c r="G284" s="421">
        <f>IF(G_04=1,INTERCEPT(B295:B324,$A$295:$A$324),"    Genere")</f>
        <v>-6702.302341490545</v>
      </c>
      <c r="H284" s="421">
        <f>IF(G_04=1,INTERCEPT(C295:C324,$A$295:$A$324),"    Genere")</f>
        <v>-68011.81023359289</v>
      </c>
      <c r="AD284" s="593"/>
    </row>
    <row r="285" spans="1:30" ht="12.75">
      <c r="A285" s="420" t="s">
        <v>62</v>
      </c>
      <c r="B285" s="416"/>
      <c r="C285" s="358"/>
      <c r="D285" s="358"/>
      <c r="E285" s="27">
        <v>3.4</v>
      </c>
      <c r="F285" s="58">
        <v>32.65</v>
      </c>
      <c r="G285" s="421">
        <f>IF(G_04=1,SLOPE(B295:B324,$A$295:$A$324),"    Genere")</f>
        <v>3.4052002224694102</v>
      </c>
      <c r="H285" s="421">
        <f>IF(G_04=1,SLOPE(C295:C324,$A$295:$A$324),"    Genere")</f>
        <v>34.52391546162403</v>
      </c>
      <c r="AD285" s="593"/>
    </row>
    <row r="286" spans="1:30" ht="13.5" thickBot="1">
      <c r="A286" s="422" t="s">
        <v>63</v>
      </c>
      <c r="B286" s="423"/>
      <c r="C286" s="364"/>
      <c r="D286" s="364"/>
      <c r="E286" s="313">
        <v>0.7086</v>
      </c>
      <c r="F286" s="314">
        <v>0.6546</v>
      </c>
      <c r="G286" s="424">
        <f>IF(G_04=1,RSQ(B295:B324,$A$295:$A$324),"     Genere")</f>
        <v>0.630874811123414</v>
      </c>
      <c r="H286" s="424">
        <f>IF(G_04=1,RSQ(C295:C324,$A$295:$A$324),"     Genere")</f>
        <v>0.6568775203409152</v>
      </c>
      <c r="AD286" s="593"/>
    </row>
    <row r="287" spans="1:30" ht="12.75">
      <c r="A287" s="425" t="s">
        <v>64</v>
      </c>
      <c r="B287" s="426"/>
      <c r="C287" s="368"/>
      <c r="D287" s="368"/>
      <c r="E287" s="29">
        <v>1</v>
      </c>
      <c r="F287" s="413"/>
      <c r="AD287" s="593"/>
    </row>
    <row r="288" spans="1:30" ht="12.75">
      <c r="A288" s="415"/>
      <c r="B288" s="416"/>
      <c r="AA288" s="595"/>
      <c r="AB288" s="593"/>
      <c r="AD288" s="593"/>
    </row>
    <row r="289" spans="1:30" ht="12.75">
      <c r="A289" s="415"/>
      <c r="B289" s="416"/>
      <c r="AA289" s="595"/>
      <c r="AB289" s="593"/>
      <c r="AD289" s="593"/>
    </row>
    <row r="290" ht="12.75">
      <c r="Y290" s="590">
        <f>AVERAGE(Y295:Y324)</f>
        <v>54.33</v>
      </c>
    </row>
    <row r="291" spans="1:26" ht="12.75">
      <c r="A291" s="370"/>
      <c r="B291" s="371" t="s">
        <v>65</v>
      </c>
      <c r="C291" s="372" t="s">
        <v>66</v>
      </c>
      <c r="X291" s="596"/>
      <c r="Y291" s="597" t="s">
        <v>65</v>
      </c>
      <c r="Z291" s="598" t="s">
        <v>66</v>
      </c>
    </row>
    <row r="292" spans="1:26" ht="12.75">
      <c r="A292" s="357"/>
      <c r="B292" s="383" t="s">
        <v>67</v>
      </c>
      <c r="C292" s="427" t="s">
        <v>68</v>
      </c>
      <c r="X292" s="599"/>
      <c r="Y292" s="600" t="s">
        <v>67</v>
      </c>
      <c r="Z292" s="601" t="s">
        <v>68</v>
      </c>
    </row>
    <row r="293" spans="1:26" ht="12.75">
      <c r="A293" s="357"/>
      <c r="B293" s="383" t="s">
        <v>59</v>
      </c>
      <c r="C293" s="427" t="s">
        <v>69</v>
      </c>
      <c r="X293" s="599"/>
      <c r="Y293" s="600" t="s">
        <v>59</v>
      </c>
      <c r="Z293" s="601" t="s">
        <v>69</v>
      </c>
    </row>
    <row r="294" spans="1:26" ht="13.5" thickBot="1">
      <c r="A294" s="373" t="s">
        <v>70</v>
      </c>
      <c r="B294" s="428" t="s">
        <v>71</v>
      </c>
      <c r="C294" s="429" t="s">
        <v>72</v>
      </c>
      <c r="X294" s="602" t="s">
        <v>70</v>
      </c>
      <c r="Y294" s="603" t="s">
        <v>71</v>
      </c>
      <c r="Z294" s="604" t="s">
        <v>72</v>
      </c>
    </row>
    <row r="295" spans="1:34" ht="13.5" thickTop="1">
      <c r="A295" s="357">
        <v>1970</v>
      </c>
      <c r="B295" s="430">
        <f>IF(E287=1,AE295,"    Genere")</f>
        <v>41.25</v>
      </c>
      <c r="C295" s="431">
        <f>IF(E287=1,AH295,"    Genere")</f>
        <v>206</v>
      </c>
      <c r="X295" s="599">
        <v>1970</v>
      </c>
      <c r="Y295" s="605">
        <v>42.4</v>
      </c>
      <c r="Z295" s="606">
        <v>207</v>
      </c>
      <c r="AA295" s="607">
        <f>E284+E285*X295</f>
        <v>12</v>
      </c>
      <c r="AB295" s="591">
        <f>F284+F285*X295</f>
        <v>13.5</v>
      </c>
      <c r="AC295" s="590">
        <f ca="1">INT((RAND()*E286*AA295)*10)/10</f>
        <v>4.6</v>
      </c>
      <c r="AD295" s="590">
        <f ca="1">INT(RAND()*10/5)</f>
        <v>0</v>
      </c>
      <c r="AE295" s="608">
        <f>IF(AD295=0,Y295-AC295/4,Y295+AC295/4)</f>
        <v>41.25</v>
      </c>
      <c r="AF295" s="593">
        <f ca="1">INT(RAND()*F286*AB295)</f>
        <v>5</v>
      </c>
      <c r="AG295" s="590">
        <f ca="1">INT(RAND()*10/5)</f>
        <v>0</v>
      </c>
      <c r="AH295" s="608">
        <f>INT(IF(AG295=0,Z295-AF295/4,Z295+AF295/4)+0.5)</f>
        <v>206</v>
      </c>
    </row>
    <row r="296" spans="1:34" ht="12.75">
      <c r="A296" s="357">
        <v>1971</v>
      </c>
      <c r="B296" s="376">
        <f>IF(E287=1,AE296,"    Genere")</f>
        <v>26.975</v>
      </c>
      <c r="C296" s="432">
        <f>IF(E287=1,AH296,"    Genere")</f>
        <v>241</v>
      </c>
      <c r="X296" s="599">
        <v>1971</v>
      </c>
      <c r="Y296" s="605">
        <v>27.5</v>
      </c>
      <c r="Z296" s="606">
        <v>238</v>
      </c>
      <c r="AA296" s="607">
        <f>E284+E285*X296</f>
        <v>15.399999999999636</v>
      </c>
      <c r="AB296" s="591">
        <f>F284+F285*X296</f>
        <v>46.14999999999418</v>
      </c>
      <c r="AC296" s="590">
        <f ca="1">INT((RAND()*E286*AA296)*10)/10</f>
        <v>2.1</v>
      </c>
      <c r="AD296" s="590">
        <f aca="true" ca="1" t="shared" si="51" ref="AD296:AD324">INT(RAND()*10/5)</f>
        <v>0</v>
      </c>
      <c r="AE296" s="608">
        <f aca="true" t="shared" si="52" ref="AE296:AE324">IF(AD296=0,Y296-AC296/4,Y296+AC296/4)</f>
        <v>26.975</v>
      </c>
      <c r="AF296" s="593">
        <f ca="1">INT(RAND()*F286*AB296)</f>
        <v>10</v>
      </c>
      <c r="AG296" s="590">
        <f aca="true" ca="1" t="shared" si="53" ref="AG296:AG324">INT(RAND()*10/5)</f>
        <v>1</v>
      </c>
      <c r="AH296" s="608">
        <f aca="true" t="shared" si="54" ref="AH296:AH324">INT(IF(AG296=0,Z296-AF296/4,Z296+AF296/4)+0.5)</f>
        <v>241</v>
      </c>
    </row>
    <row r="297" spans="1:34" ht="12.75">
      <c r="A297" s="357">
        <v>1972</v>
      </c>
      <c r="B297" s="376">
        <f>IF(E287=1,AE297,"    Genere")</f>
        <v>22.675</v>
      </c>
      <c r="C297" s="432">
        <f>IF(E287=1,AH297,"    Genere")</f>
        <v>218</v>
      </c>
      <c r="X297" s="599">
        <v>1972</v>
      </c>
      <c r="Y297" s="605">
        <v>21.2</v>
      </c>
      <c r="Z297" s="606">
        <v>222</v>
      </c>
      <c r="AA297" s="607">
        <f>E284+E285*X297</f>
        <v>18.800000000000182</v>
      </c>
      <c r="AB297" s="591">
        <f>F284+F285*X297</f>
        <v>78.79999999999563</v>
      </c>
      <c r="AC297" s="590">
        <f ca="1">INT((RAND()*E286*AA297)*10)/10</f>
        <v>5.9</v>
      </c>
      <c r="AD297" s="590">
        <f ca="1" t="shared" si="51"/>
        <v>1</v>
      </c>
      <c r="AE297" s="608">
        <f t="shared" si="52"/>
        <v>22.675</v>
      </c>
      <c r="AF297" s="593">
        <f ca="1">INT(RAND()*F286*AB297)</f>
        <v>17</v>
      </c>
      <c r="AG297" s="590">
        <f ca="1" t="shared" si="53"/>
        <v>0</v>
      </c>
      <c r="AH297" s="608">
        <f t="shared" si="54"/>
        <v>218</v>
      </c>
    </row>
    <row r="298" spans="1:34" ht="12.75">
      <c r="A298" s="357">
        <v>1973</v>
      </c>
      <c r="B298" s="376">
        <f>IF(E287=1,AE298,"    Genere")</f>
        <v>7.799999999999999</v>
      </c>
      <c r="C298" s="432">
        <f>IF(E287=1,AH298,"    Genere")</f>
        <v>141</v>
      </c>
      <c r="X298" s="599">
        <v>1973</v>
      </c>
      <c r="Y298" s="605">
        <v>11.2</v>
      </c>
      <c r="Z298" s="606">
        <v>155</v>
      </c>
      <c r="AA298" s="607">
        <f>E284+E285*X298</f>
        <v>22.199999999999818</v>
      </c>
      <c r="AB298" s="591">
        <f>F284+F285*X298</f>
        <v>111.44999999999709</v>
      </c>
      <c r="AC298" s="590">
        <f ca="1">INT((RAND()*E286*AA298)*10)/10</f>
        <v>13.6</v>
      </c>
      <c r="AD298" s="590">
        <f ca="1" t="shared" si="51"/>
        <v>0</v>
      </c>
      <c r="AE298" s="608">
        <f t="shared" si="52"/>
        <v>7.799999999999999</v>
      </c>
      <c r="AF298" s="593">
        <f ca="1">INT(RAND()*F286*AB298)</f>
        <v>56</v>
      </c>
      <c r="AG298" s="590">
        <f ca="1" t="shared" si="53"/>
        <v>0</v>
      </c>
      <c r="AH298" s="608">
        <f t="shared" si="54"/>
        <v>141</v>
      </c>
    </row>
    <row r="299" spans="1:34" ht="12.75">
      <c r="A299" s="357">
        <v>1974</v>
      </c>
      <c r="B299" s="376">
        <f>IF(E287=1,AE299,"    Genere")</f>
        <v>11.05</v>
      </c>
      <c r="C299" s="432">
        <f>IF(E287=1,AH299,"    Genere")</f>
        <v>140</v>
      </c>
      <c r="X299" s="599">
        <v>1974</v>
      </c>
      <c r="Y299" s="605">
        <v>7.8</v>
      </c>
      <c r="Z299" s="606">
        <v>137</v>
      </c>
      <c r="AA299" s="607">
        <f>E284+E285*X299</f>
        <v>25.599999999999454</v>
      </c>
      <c r="AB299" s="591">
        <f>F284+F285*X299</f>
        <v>144.09999999999854</v>
      </c>
      <c r="AC299" s="590">
        <f ca="1">INT((RAND()*E286*AA299)*10)/10</f>
        <v>13</v>
      </c>
      <c r="AD299" s="590">
        <f ca="1" t="shared" si="51"/>
        <v>1</v>
      </c>
      <c r="AE299" s="608">
        <f t="shared" si="52"/>
        <v>11.05</v>
      </c>
      <c r="AF299" s="593">
        <f ca="1">INT(RAND()*F286*AB299)</f>
        <v>13</v>
      </c>
      <c r="AG299" s="590">
        <f ca="1" t="shared" si="53"/>
        <v>1</v>
      </c>
      <c r="AH299" s="608">
        <f t="shared" si="54"/>
        <v>140</v>
      </c>
    </row>
    <row r="300" spans="1:34" ht="12.75">
      <c r="A300" s="357">
        <v>1975</v>
      </c>
      <c r="B300" s="376">
        <f>IF(E287=1,AE300,"    Genere")</f>
        <v>11.075</v>
      </c>
      <c r="C300" s="432">
        <f>IF(E287=1,AH300,"    Genere")</f>
        <v>158</v>
      </c>
      <c r="X300" s="599">
        <v>1975</v>
      </c>
      <c r="Y300" s="605">
        <v>10.5</v>
      </c>
      <c r="Z300" s="606">
        <v>184</v>
      </c>
      <c r="AA300" s="607">
        <f>E284+E285*X300</f>
        <v>29</v>
      </c>
      <c r="AB300" s="591">
        <f>F284+F285*X300</f>
        <v>176.75</v>
      </c>
      <c r="AC300" s="590">
        <f ca="1">INT((RAND()*E286*AA300)*10)/10</f>
        <v>2.3</v>
      </c>
      <c r="AD300" s="590">
        <f ca="1" t="shared" si="51"/>
        <v>1</v>
      </c>
      <c r="AE300" s="608">
        <f t="shared" si="52"/>
        <v>11.075</v>
      </c>
      <c r="AF300" s="593">
        <f ca="1">INT(RAND()*F286*AB300)</f>
        <v>105</v>
      </c>
      <c r="AG300" s="590">
        <f ca="1" t="shared" si="53"/>
        <v>0</v>
      </c>
      <c r="AH300" s="608">
        <f t="shared" si="54"/>
        <v>158</v>
      </c>
    </row>
    <row r="301" spans="1:34" ht="12.75">
      <c r="A301" s="357">
        <v>1976</v>
      </c>
      <c r="B301" s="376">
        <f>IF(E287=1,AE301,"    Genere")</f>
        <v>22.7</v>
      </c>
      <c r="C301" s="432">
        <f>IF(E287=1,AH301,"    Genere")</f>
        <v>201</v>
      </c>
      <c r="X301" s="599">
        <v>1976</v>
      </c>
      <c r="Y301" s="605">
        <v>18.4</v>
      </c>
      <c r="Z301" s="606">
        <v>186</v>
      </c>
      <c r="AA301" s="607">
        <f>E284+E285*X301</f>
        <v>32.399999999999636</v>
      </c>
      <c r="AB301" s="591">
        <f>F284+F285*X301</f>
        <v>209.39999999999418</v>
      </c>
      <c r="AC301" s="590">
        <f ca="1">INT((RAND()*E286*AA301)*10)/10</f>
        <v>17.2</v>
      </c>
      <c r="AD301" s="590">
        <f ca="1" t="shared" si="51"/>
        <v>1</v>
      </c>
      <c r="AE301" s="608">
        <f t="shared" si="52"/>
        <v>22.7</v>
      </c>
      <c r="AF301" s="593">
        <f ca="1">INT(RAND()*F286*AB301)</f>
        <v>60</v>
      </c>
      <c r="AG301" s="590">
        <f ca="1" t="shared" si="53"/>
        <v>1</v>
      </c>
      <c r="AH301" s="608">
        <f t="shared" si="54"/>
        <v>201</v>
      </c>
    </row>
    <row r="302" spans="1:34" ht="12.75">
      <c r="A302" s="357">
        <v>1977</v>
      </c>
      <c r="B302" s="376">
        <f>IF(E287=1,AE302,"    Genere")</f>
        <v>31.775000000000002</v>
      </c>
      <c r="C302" s="432">
        <f>IF(E287=1,AH302,"    Genere")</f>
        <v>318</v>
      </c>
      <c r="X302" s="599">
        <v>1977</v>
      </c>
      <c r="Y302" s="605">
        <v>26.6</v>
      </c>
      <c r="Z302" s="606">
        <v>293</v>
      </c>
      <c r="AA302" s="607">
        <f>E284+E285*X302</f>
        <v>35.80000000000018</v>
      </c>
      <c r="AB302" s="591">
        <f>F284+F285*X302</f>
        <v>242.04999999999563</v>
      </c>
      <c r="AC302" s="590">
        <f ca="1">INT((RAND()*E286*AA302)*10)/10</f>
        <v>20.7</v>
      </c>
      <c r="AD302" s="590">
        <f ca="1" t="shared" si="51"/>
        <v>1</v>
      </c>
      <c r="AE302" s="608">
        <f t="shared" si="52"/>
        <v>31.775000000000002</v>
      </c>
      <c r="AF302" s="593">
        <f ca="1">INT(RAND()*F286*AB302)</f>
        <v>99</v>
      </c>
      <c r="AG302" s="590">
        <f ca="1" t="shared" si="53"/>
        <v>1</v>
      </c>
      <c r="AH302" s="608">
        <f t="shared" si="54"/>
        <v>318</v>
      </c>
    </row>
    <row r="303" spans="1:34" ht="12.75">
      <c r="A303" s="357">
        <v>1978</v>
      </c>
      <c r="B303" s="376">
        <f>IF(E287=1,AE303,"    Genere")</f>
        <v>25.675</v>
      </c>
      <c r="C303" s="432">
        <f>IF(E287=1,AH303,"    Genere")</f>
        <v>230</v>
      </c>
      <c r="X303" s="599">
        <v>1978</v>
      </c>
      <c r="Y303" s="605">
        <v>28</v>
      </c>
      <c r="Z303" s="606">
        <v>258</v>
      </c>
      <c r="AA303" s="607">
        <f>E284+E285*X303</f>
        <v>39.19999999999982</v>
      </c>
      <c r="AB303" s="591">
        <f>F284+F285*X303</f>
        <v>274.6999999999971</v>
      </c>
      <c r="AC303" s="590">
        <f ca="1">INT((RAND()*E286*AA303)*10)/10</f>
        <v>9.3</v>
      </c>
      <c r="AD303" s="590">
        <f ca="1" t="shared" si="51"/>
        <v>0</v>
      </c>
      <c r="AE303" s="608">
        <f t="shared" si="52"/>
        <v>25.675</v>
      </c>
      <c r="AF303" s="593">
        <f ca="1">INT(RAND()*F286*AB303)</f>
        <v>113</v>
      </c>
      <c r="AG303" s="590">
        <f ca="1" t="shared" si="53"/>
        <v>0</v>
      </c>
      <c r="AH303" s="608">
        <f t="shared" si="54"/>
        <v>230</v>
      </c>
    </row>
    <row r="304" spans="1:34" ht="12.75">
      <c r="A304" s="357">
        <v>1979</v>
      </c>
      <c r="B304" s="376">
        <f>IF(E287=1,AE304,"    Genere")</f>
        <v>37.474999999999994</v>
      </c>
      <c r="C304" s="432">
        <f>IF(E287=1,AH304,"    Genere")</f>
        <v>239</v>
      </c>
      <c r="X304" s="599">
        <v>1979</v>
      </c>
      <c r="Y304" s="605">
        <v>33.8</v>
      </c>
      <c r="Z304" s="606">
        <v>285</v>
      </c>
      <c r="AA304" s="607">
        <f>E284+E285*X304</f>
        <v>42.599999999999454</v>
      </c>
      <c r="AB304" s="591">
        <f>F284+F285*X304</f>
        <v>307.34999999999854</v>
      </c>
      <c r="AC304" s="590">
        <f ca="1">INT((RAND()*E286*AA304)*10)/10</f>
        <v>14.7</v>
      </c>
      <c r="AD304" s="590">
        <f ca="1" t="shared" si="51"/>
        <v>1</v>
      </c>
      <c r="AE304" s="608">
        <f t="shared" si="52"/>
        <v>37.474999999999994</v>
      </c>
      <c r="AF304" s="593">
        <f ca="1">INT(RAND()*F286*AB304)</f>
        <v>183</v>
      </c>
      <c r="AG304" s="590">
        <f ca="1" t="shared" si="53"/>
        <v>0</v>
      </c>
      <c r="AH304" s="608">
        <f t="shared" si="54"/>
        <v>239</v>
      </c>
    </row>
    <row r="305" spans="1:34" ht="12.75">
      <c r="A305" s="357">
        <v>1980</v>
      </c>
      <c r="B305" s="376">
        <f>IF(E287=1,AE305,"    Genere")</f>
        <v>47.449999999999996</v>
      </c>
      <c r="C305" s="432">
        <f>IF(E287=1,AH305,"    Genere")</f>
        <v>334</v>
      </c>
      <c r="X305" s="599">
        <v>1980</v>
      </c>
      <c r="Y305" s="605">
        <v>42.9</v>
      </c>
      <c r="Z305" s="606">
        <v>317</v>
      </c>
      <c r="AA305" s="607">
        <f>E284+E285*X305</f>
        <v>46</v>
      </c>
      <c r="AB305" s="591">
        <f>F284+F285*X305</f>
        <v>340</v>
      </c>
      <c r="AC305" s="590">
        <f ca="1">INT((RAND()*E286*AA305)*10)/10</f>
        <v>18.2</v>
      </c>
      <c r="AD305" s="590">
        <f ca="1" t="shared" si="51"/>
        <v>1</v>
      </c>
      <c r="AE305" s="608">
        <f t="shared" si="52"/>
        <v>47.449999999999996</v>
      </c>
      <c r="AF305" s="593">
        <f ca="1">INT(RAND()*F286*AB305)</f>
        <v>66</v>
      </c>
      <c r="AG305" s="590">
        <f ca="1" t="shared" si="53"/>
        <v>1</v>
      </c>
      <c r="AH305" s="608">
        <f t="shared" si="54"/>
        <v>334</v>
      </c>
    </row>
    <row r="306" spans="1:34" ht="12.75">
      <c r="A306" s="357">
        <v>1981</v>
      </c>
      <c r="B306" s="376">
        <f>IF(E287=1,AE306,"    Genere")</f>
        <v>55.875</v>
      </c>
      <c r="C306" s="432">
        <f>IF(E287=1,AH306,"    Genere")</f>
        <v>278</v>
      </c>
      <c r="X306" s="599">
        <v>1981</v>
      </c>
      <c r="Y306" s="605">
        <v>50.2</v>
      </c>
      <c r="Z306" s="606">
        <v>302</v>
      </c>
      <c r="AA306" s="607">
        <f>E284+E285*X306</f>
        <v>49.399999999999636</v>
      </c>
      <c r="AB306" s="591">
        <f>F284+F285*X306</f>
        <v>372.6499999999942</v>
      </c>
      <c r="AC306" s="590">
        <f ca="1">INT((RAND()*E286*AA306)*10)/10</f>
        <v>22.7</v>
      </c>
      <c r="AD306" s="590">
        <f ca="1" t="shared" si="51"/>
        <v>1</v>
      </c>
      <c r="AE306" s="608">
        <f t="shared" si="52"/>
        <v>55.875</v>
      </c>
      <c r="AF306" s="593">
        <f ca="1">INT(RAND()*F286*AB306)</f>
        <v>97</v>
      </c>
      <c r="AG306" s="590">
        <f ca="1" t="shared" si="53"/>
        <v>0</v>
      </c>
      <c r="AH306" s="608">
        <f t="shared" si="54"/>
        <v>278</v>
      </c>
    </row>
    <row r="307" spans="1:34" ht="12.75">
      <c r="A307" s="357">
        <v>1982</v>
      </c>
      <c r="B307" s="376">
        <f>IF(E287=1,AE307,"    Genere")</f>
        <v>66.7</v>
      </c>
      <c r="C307" s="432">
        <f>IF(E287=1,AH307,"    Genere")</f>
        <v>459</v>
      </c>
      <c r="X307" s="599">
        <v>1982</v>
      </c>
      <c r="Y307" s="605">
        <v>58.8</v>
      </c>
      <c r="Z307" s="606">
        <v>479</v>
      </c>
      <c r="AA307" s="607">
        <f>E284+E285*X307</f>
        <v>52.80000000000018</v>
      </c>
      <c r="AB307" s="591">
        <f>F284+F285*X307</f>
        <v>405.29999999999563</v>
      </c>
      <c r="AC307" s="590">
        <f ca="1">INT((RAND()*E286*AA307)*10)/10</f>
        <v>31.6</v>
      </c>
      <c r="AD307" s="590">
        <f ca="1" t="shared" si="51"/>
        <v>1</v>
      </c>
      <c r="AE307" s="608">
        <f t="shared" si="52"/>
        <v>66.7</v>
      </c>
      <c r="AF307" s="593">
        <f ca="1">INT(RAND()*F286*AB307)</f>
        <v>81</v>
      </c>
      <c r="AG307" s="590">
        <f ca="1" t="shared" si="53"/>
        <v>0</v>
      </c>
      <c r="AH307" s="608">
        <f t="shared" si="54"/>
        <v>459</v>
      </c>
    </row>
    <row r="308" spans="1:34" ht="12.75">
      <c r="A308" s="357">
        <v>1983</v>
      </c>
      <c r="B308" s="376">
        <f>IF(E287=1,AE308,"    Genere")</f>
        <v>29.075</v>
      </c>
      <c r="C308" s="432">
        <f>IF(E287=1,AH308,"    Genere")</f>
        <v>855</v>
      </c>
      <c r="X308" s="599">
        <v>1983</v>
      </c>
      <c r="Y308" s="605">
        <v>29.7</v>
      </c>
      <c r="Z308" s="606">
        <v>888</v>
      </c>
      <c r="AA308" s="607">
        <f>E284+E285*X308</f>
        <v>56.19999999999982</v>
      </c>
      <c r="AB308" s="591">
        <f>F284+F285*X308</f>
        <v>437.9499999999971</v>
      </c>
      <c r="AC308" s="590">
        <f ca="1">INT((RAND()*E286*AA308)*10)/10</f>
        <v>2.5</v>
      </c>
      <c r="AD308" s="590">
        <f ca="1" t="shared" si="51"/>
        <v>0</v>
      </c>
      <c r="AE308" s="608">
        <f t="shared" si="52"/>
        <v>29.075</v>
      </c>
      <c r="AF308" s="593">
        <f ca="1">INT(RAND()*F286*AB308)</f>
        <v>133</v>
      </c>
      <c r="AG308" s="590">
        <f ca="1" t="shared" si="53"/>
        <v>0</v>
      </c>
      <c r="AH308" s="608">
        <f t="shared" si="54"/>
        <v>855</v>
      </c>
    </row>
    <row r="309" spans="1:34" ht="12.75">
      <c r="A309" s="357">
        <v>1984</v>
      </c>
      <c r="B309" s="376">
        <f>IF(E287=1,AE309,"    Genere")</f>
        <v>10.15</v>
      </c>
      <c r="C309" s="432">
        <f>IF(E287=1,AH309,"    Genere")</f>
        <v>585</v>
      </c>
      <c r="X309" s="599">
        <v>1984</v>
      </c>
      <c r="Y309" s="605">
        <v>15.9</v>
      </c>
      <c r="Z309" s="606">
        <v>527</v>
      </c>
      <c r="AA309" s="607">
        <f>E284+E285*X309</f>
        <v>59.599999999999454</v>
      </c>
      <c r="AB309" s="591">
        <f>F284+F285*X309</f>
        <v>470.59999999999854</v>
      </c>
      <c r="AC309" s="590">
        <f ca="1">INT((RAND()*E286*AA309)*10)/10</f>
        <v>23</v>
      </c>
      <c r="AD309" s="590">
        <f ca="1" t="shared" si="51"/>
        <v>0</v>
      </c>
      <c r="AE309" s="608">
        <f t="shared" si="52"/>
        <v>10.15</v>
      </c>
      <c r="AF309" s="593">
        <f ca="1">INT(RAND()*F286*AB309)</f>
        <v>233</v>
      </c>
      <c r="AG309" s="590">
        <f ca="1" t="shared" si="53"/>
        <v>1</v>
      </c>
      <c r="AH309" s="608">
        <f t="shared" si="54"/>
        <v>585</v>
      </c>
    </row>
    <row r="310" spans="1:34" ht="12.75">
      <c r="A310" s="357">
        <v>1985</v>
      </c>
      <c r="B310" s="376">
        <f>IF(E287=1,AE310,"    Genere")</f>
        <v>8.675</v>
      </c>
      <c r="C310" s="432">
        <f>IF(E287=1,AH310,"    Genere")</f>
        <v>212</v>
      </c>
      <c r="X310" s="599">
        <v>1985</v>
      </c>
      <c r="Y310" s="605">
        <v>11.8</v>
      </c>
      <c r="Z310" s="606">
        <v>256</v>
      </c>
      <c r="AA310" s="607">
        <f>E284+E285*X310</f>
        <v>63</v>
      </c>
      <c r="AB310" s="591">
        <f>F284+F285*X310</f>
        <v>503.25</v>
      </c>
      <c r="AC310" s="590">
        <f ca="1">INT((RAND()*E286*AA310)*10)/10</f>
        <v>12.5</v>
      </c>
      <c r="AD310" s="590">
        <f ca="1" t="shared" si="51"/>
        <v>0</v>
      </c>
      <c r="AE310" s="608">
        <f t="shared" si="52"/>
        <v>8.675</v>
      </c>
      <c r="AF310" s="593">
        <f ca="1">INT(RAND()*F286*AB310)</f>
        <v>175</v>
      </c>
      <c r="AG310" s="590">
        <f ca="1" t="shared" si="53"/>
        <v>0</v>
      </c>
      <c r="AH310" s="608">
        <f t="shared" si="54"/>
        <v>212</v>
      </c>
    </row>
    <row r="311" spans="1:34" ht="12.75">
      <c r="A311" s="357">
        <v>1986</v>
      </c>
      <c r="B311" s="376">
        <f>IF(E287=1,AE311,"    Genere")</f>
        <v>12.224999999999998</v>
      </c>
      <c r="C311" s="432">
        <f>IF(E287=1,AH311,"    Genere")</f>
        <v>184</v>
      </c>
      <c r="X311" s="599">
        <v>1986</v>
      </c>
      <c r="Y311" s="605">
        <v>17.4</v>
      </c>
      <c r="Z311" s="606">
        <v>200</v>
      </c>
      <c r="AA311" s="607">
        <f>E284+E285*X311</f>
        <v>66.39999999999964</v>
      </c>
      <c r="AB311" s="591">
        <f>F284+F285*X311</f>
        <v>535.8999999999942</v>
      </c>
      <c r="AC311" s="590">
        <f ca="1">INT((RAND()*E286*AA311)*10)/10</f>
        <v>20.7</v>
      </c>
      <c r="AD311" s="590">
        <f ca="1" t="shared" si="51"/>
        <v>0</v>
      </c>
      <c r="AE311" s="608">
        <f t="shared" si="52"/>
        <v>12.224999999999998</v>
      </c>
      <c r="AF311" s="593">
        <f ca="1">INT(RAND()*F286*AB311)</f>
        <v>64</v>
      </c>
      <c r="AG311" s="590">
        <f ca="1" t="shared" si="53"/>
        <v>0</v>
      </c>
      <c r="AH311" s="608">
        <f t="shared" si="54"/>
        <v>184</v>
      </c>
    </row>
    <row r="312" spans="1:34" ht="12.75">
      <c r="A312" s="357">
        <v>1987</v>
      </c>
      <c r="B312" s="376">
        <f>IF(E287=1,AE312,"    Genere")</f>
        <v>47.025</v>
      </c>
      <c r="C312" s="432">
        <f>IF(E287=1,AH312,"    Genere")</f>
        <v>225</v>
      </c>
      <c r="X312" s="599">
        <v>1987</v>
      </c>
      <c r="Y312" s="605">
        <v>55.9</v>
      </c>
      <c r="Z312" s="606">
        <v>186</v>
      </c>
      <c r="AA312" s="607">
        <f>E284+E285*X312</f>
        <v>69.80000000000018</v>
      </c>
      <c r="AB312" s="591">
        <f>F284+F285*X312</f>
        <v>568.5499999999956</v>
      </c>
      <c r="AC312" s="590">
        <f ca="1">INT((RAND()*E286*AA312)*10)/10</f>
        <v>35.5</v>
      </c>
      <c r="AD312" s="590">
        <f ca="1" t="shared" si="51"/>
        <v>0</v>
      </c>
      <c r="AE312" s="608">
        <f t="shared" si="52"/>
        <v>47.025</v>
      </c>
      <c r="AF312" s="593">
        <f ca="1">INT(RAND()*F286*AB312)</f>
        <v>154</v>
      </c>
      <c r="AG312" s="590">
        <f ca="1" t="shared" si="53"/>
        <v>1</v>
      </c>
      <c r="AH312" s="608">
        <f t="shared" si="54"/>
        <v>225</v>
      </c>
    </row>
    <row r="313" spans="1:34" ht="12.75">
      <c r="A313" s="357">
        <v>1988</v>
      </c>
      <c r="B313" s="376">
        <f>IF(E287=1,AE313,"    Genere")</f>
        <v>64.52499999999999</v>
      </c>
      <c r="C313" s="432">
        <f>IF(E287=1,AH313,"    Genere")</f>
        <v>277</v>
      </c>
      <c r="X313" s="599">
        <v>1988</v>
      </c>
      <c r="Y313" s="605">
        <v>70.6</v>
      </c>
      <c r="Z313" s="606">
        <v>277</v>
      </c>
      <c r="AA313" s="607">
        <f>E284+E285*X313</f>
        <v>73.19999999999982</v>
      </c>
      <c r="AB313" s="591">
        <f>F284+F285*X313</f>
        <v>601.1999999999971</v>
      </c>
      <c r="AC313" s="590">
        <f ca="1">INT((RAND()*E286*AA313)*10)/10</f>
        <v>24.3</v>
      </c>
      <c r="AD313" s="590">
        <f ca="1" t="shared" si="51"/>
        <v>0</v>
      </c>
      <c r="AE313" s="608">
        <f t="shared" si="52"/>
        <v>64.52499999999999</v>
      </c>
      <c r="AF313" s="593">
        <f ca="1">INT(RAND()*F286*AB313)</f>
        <v>0</v>
      </c>
      <c r="AG313" s="590">
        <f ca="1" t="shared" si="53"/>
        <v>0</v>
      </c>
      <c r="AH313" s="608">
        <f t="shared" si="54"/>
        <v>277</v>
      </c>
    </row>
    <row r="314" spans="1:34" ht="12.75">
      <c r="A314" s="357">
        <v>1989</v>
      </c>
      <c r="B314" s="376">
        <f>IF(E287=1,AE314,"    Genere")</f>
        <v>75.425</v>
      </c>
      <c r="C314" s="432">
        <f>IF(E287=1,AH314,"    Genere")</f>
        <v>303</v>
      </c>
      <c r="X314" s="599">
        <v>1989</v>
      </c>
      <c r="Y314" s="605">
        <v>77.6</v>
      </c>
      <c r="Z314" s="606">
        <v>392</v>
      </c>
      <c r="AA314" s="607">
        <f>E284+E285*X314</f>
        <v>76.59999999999945</v>
      </c>
      <c r="AB314" s="591">
        <f>F284+F285*X314</f>
        <v>633.8499999999985</v>
      </c>
      <c r="AC314" s="590">
        <f ca="1">INT((RAND()*E286*AA314)*10)/10</f>
        <v>8.7</v>
      </c>
      <c r="AD314" s="590">
        <f ca="1" t="shared" si="51"/>
        <v>0</v>
      </c>
      <c r="AE314" s="608">
        <f t="shared" si="52"/>
        <v>75.425</v>
      </c>
      <c r="AF314" s="593">
        <f ca="1">INT(RAND()*F286*AB314)</f>
        <v>355</v>
      </c>
      <c r="AG314" s="590">
        <f ca="1" t="shared" si="53"/>
        <v>0</v>
      </c>
      <c r="AH314" s="608">
        <f t="shared" si="54"/>
        <v>303</v>
      </c>
    </row>
    <row r="315" spans="1:34" ht="12.75">
      <c r="A315" s="357">
        <v>1990</v>
      </c>
      <c r="B315" s="376">
        <f>IF(E287=1,AE315,"    Genere")</f>
        <v>98.125</v>
      </c>
      <c r="C315" s="432">
        <f>IF(E287=1,AH315,"    Genere")</f>
        <v>565</v>
      </c>
      <c r="X315" s="599">
        <v>1990</v>
      </c>
      <c r="Y315" s="605">
        <v>85.4</v>
      </c>
      <c r="Z315" s="606">
        <v>522</v>
      </c>
      <c r="AA315" s="607">
        <f>E284+E285*X315</f>
        <v>80</v>
      </c>
      <c r="AB315" s="591">
        <f>F284+F285*X315</f>
        <v>666.5</v>
      </c>
      <c r="AC315" s="590">
        <f ca="1">INT((RAND()*E286*AA315)*10)/10</f>
        <v>50.9</v>
      </c>
      <c r="AD315" s="590">
        <f ca="1" t="shared" si="51"/>
        <v>1</v>
      </c>
      <c r="AE315" s="608">
        <f t="shared" si="52"/>
        <v>98.125</v>
      </c>
      <c r="AF315" s="593">
        <f ca="1">INT(RAND()*F286*AB315)</f>
        <v>171</v>
      </c>
      <c r="AG315" s="590">
        <f ca="1" t="shared" si="53"/>
        <v>1</v>
      </c>
      <c r="AH315" s="608">
        <f t="shared" si="54"/>
        <v>565</v>
      </c>
    </row>
    <row r="316" spans="1:34" ht="12.75">
      <c r="A316" s="357">
        <v>1991</v>
      </c>
      <c r="B316" s="376">
        <f>IF(E287=1,AE316,"    Genere")</f>
        <v>126.475</v>
      </c>
      <c r="C316" s="432">
        <f>IF(E287=1,AH316,"    Genere")</f>
        <v>370</v>
      </c>
      <c r="X316" s="599">
        <v>1991</v>
      </c>
      <c r="Y316" s="605">
        <v>116.3</v>
      </c>
      <c r="Z316" s="606">
        <v>272</v>
      </c>
      <c r="AA316" s="607">
        <f>E284+E285*X316</f>
        <v>83.39999999999964</v>
      </c>
      <c r="AB316" s="591">
        <f>F284+F285*X316</f>
        <v>699.1499999999942</v>
      </c>
      <c r="AC316" s="590">
        <f ca="1">INT((RAND()*E286*AA316)*10)/10</f>
        <v>40.7</v>
      </c>
      <c r="AD316" s="590">
        <f ca="1" t="shared" si="51"/>
        <v>1</v>
      </c>
      <c r="AE316" s="608">
        <f t="shared" si="52"/>
        <v>126.475</v>
      </c>
      <c r="AF316" s="593">
        <f ca="1">INT(RAND()*F286*AB316)</f>
        <v>392</v>
      </c>
      <c r="AG316" s="590">
        <f ca="1" t="shared" si="53"/>
        <v>1</v>
      </c>
      <c r="AH316" s="608">
        <f t="shared" si="54"/>
        <v>370</v>
      </c>
    </row>
    <row r="317" spans="1:34" ht="12.75">
      <c r="A317" s="357">
        <v>1992</v>
      </c>
      <c r="B317" s="376">
        <f>IF(E287=1,AE317,"    Genere")</f>
        <v>78.075</v>
      </c>
      <c r="C317" s="432">
        <f>IF(E287=1,AH317,"    Genere")</f>
        <v>731</v>
      </c>
      <c r="X317" s="599">
        <v>1992</v>
      </c>
      <c r="Y317" s="605">
        <v>90.9</v>
      </c>
      <c r="Z317" s="606">
        <v>771</v>
      </c>
      <c r="AA317" s="607">
        <f>E284+E285*X317</f>
        <v>86.80000000000018</v>
      </c>
      <c r="AB317" s="591">
        <f>F284+F285*X317</f>
        <v>731.7999999999956</v>
      </c>
      <c r="AC317" s="590">
        <f ca="1">INT((RAND()*E286*AA317)*10)/10</f>
        <v>51.3</v>
      </c>
      <c r="AD317" s="590">
        <f ca="1" t="shared" si="51"/>
        <v>0</v>
      </c>
      <c r="AE317" s="608">
        <f t="shared" si="52"/>
        <v>78.075</v>
      </c>
      <c r="AF317" s="593">
        <f ca="1">INT(RAND()*F286*AB317)</f>
        <v>161</v>
      </c>
      <c r="AG317" s="590">
        <f ca="1" t="shared" si="53"/>
        <v>0</v>
      </c>
      <c r="AH317" s="608">
        <f t="shared" si="54"/>
        <v>731</v>
      </c>
    </row>
    <row r="318" spans="1:34" ht="12.75">
      <c r="A318" s="357">
        <v>1993</v>
      </c>
      <c r="B318" s="376">
        <f>IF(E287=1,AE318,"    Genere")</f>
        <v>109.45</v>
      </c>
      <c r="C318" s="432">
        <f>IF(E287=1,AH318,"    Genere")</f>
        <v>910</v>
      </c>
      <c r="X318" s="599">
        <v>1993</v>
      </c>
      <c r="Y318" s="605">
        <v>93.9</v>
      </c>
      <c r="Z318" s="606">
        <v>898</v>
      </c>
      <c r="AA318" s="607">
        <f>E284+E285*X318</f>
        <v>90.19999999999982</v>
      </c>
      <c r="AB318" s="591">
        <f>F284+F285*X318</f>
        <v>764.4499999999971</v>
      </c>
      <c r="AC318" s="590">
        <f ca="1">INT((RAND()*E286*AA318)*10)/10</f>
        <v>62.2</v>
      </c>
      <c r="AD318" s="590">
        <f ca="1" t="shared" si="51"/>
        <v>1</v>
      </c>
      <c r="AE318" s="608">
        <f t="shared" si="52"/>
        <v>109.45</v>
      </c>
      <c r="AF318" s="593">
        <f ca="1">INT(RAND()*F286*AB318)</f>
        <v>47</v>
      </c>
      <c r="AG318" s="590">
        <f ca="1" t="shared" si="53"/>
        <v>1</v>
      </c>
      <c r="AH318" s="608">
        <f t="shared" si="54"/>
        <v>910</v>
      </c>
    </row>
    <row r="319" spans="1:34" ht="12.75">
      <c r="A319" s="357">
        <v>1994</v>
      </c>
      <c r="B319" s="376">
        <f>IF(E287=1,AE319,"    Genere")</f>
        <v>94.75</v>
      </c>
      <c r="C319" s="432">
        <f>IF(E287=1,AH319,"    Genere")</f>
        <v>1066</v>
      </c>
      <c r="X319" s="599">
        <v>1994</v>
      </c>
      <c r="Y319" s="605">
        <v>92</v>
      </c>
      <c r="Z319" s="606">
        <v>936</v>
      </c>
      <c r="AA319" s="607">
        <f>E284+E285*X319</f>
        <v>93.59999999999945</v>
      </c>
      <c r="AB319" s="591">
        <f>F284+F285*X319</f>
        <v>797.0999999999985</v>
      </c>
      <c r="AC319" s="590">
        <f ca="1">INT((RAND()*E286*AA319)*10)/10</f>
        <v>11</v>
      </c>
      <c r="AD319" s="590">
        <f ca="1" t="shared" si="51"/>
        <v>1</v>
      </c>
      <c r="AE319" s="608">
        <f t="shared" si="52"/>
        <v>94.75</v>
      </c>
      <c r="AF319" s="593">
        <f ca="1">INT(RAND()*F286*AB319)</f>
        <v>518</v>
      </c>
      <c r="AG319" s="590">
        <f ca="1" t="shared" si="53"/>
        <v>1</v>
      </c>
      <c r="AH319" s="608">
        <f t="shared" si="54"/>
        <v>1066</v>
      </c>
    </row>
    <row r="320" spans="1:34" ht="12.75">
      <c r="A320" s="357">
        <v>1995</v>
      </c>
      <c r="B320" s="376">
        <f>IF(E287=1,AE320,"    Genere")</f>
        <v>94.95</v>
      </c>
      <c r="C320" s="432">
        <f>IF(E287=1,AH320,"    Genere")</f>
        <v>842</v>
      </c>
      <c r="X320" s="599">
        <v>1995</v>
      </c>
      <c r="Y320" s="605">
        <v>101.7</v>
      </c>
      <c r="Z320" s="606">
        <v>973</v>
      </c>
      <c r="AA320" s="607">
        <f>E284+E285*X320</f>
        <v>97</v>
      </c>
      <c r="AB320" s="591">
        <f>F284+F285*X320</f>
        <v>829.75</v>
      </c>
      <c r="AC320" s="590">
        <f ca="1">INT((RAND()*E286*AA320)*10)/10</f>
        <v>27</v>
      </c>
      <c r="AD320" s="590">
        <f ca="1" t="shared" si="51"/>
        <v>0</v>
      </c>
      <c r="AE320" s="608">
        <f t="shared" si="52"/>
        <v>94.95</v>
      </c>
      <c r="AF320" s="593">
        <f ca="1">INT(RAND()*F286*AB320)</f>
        <v>524</v>
      </c>
      <c r="AG320" s="590">
        <f ca="1" t="shared" si="53"/>
        <v>0</v>
      </c>
      <c r="AH320" s="608">
        <f t="shared" si="54"/>
        <v>842</v>
      </c>
    </row>
    <row r="321" spans="1:34" ht="12.75">
      <c r="A321" s="357">
        <v>1996</v>
      </c>
      <c r="B321" s="376">
        <f>IF(E287=1,AE321,"    Genere")</f>
        <v>126.95</v>
      </c>
      <c r="C321" s="432">
        <f>IF(E287=1,AH321,"    Genere")</f>
        <v>958</v>
      </c>
      <c r="X321" s="599">
        <v>1996</v>
      </c>
      <c r="Y321" s="605">
        <v>110.7</v>
      </c>
      <c r="Z321" s="606">
        <v>977</v>
      </c>
      <c r="AA321" s="607">
        <f>E284+E285*X321</f>
        <v>100.39999999999964</v>
      </c>
      <c r="AB321" s="591">
        <f>F284+F285*X321</f>
        <v>862.3999999999942</v>
      </c>
      <c r="AC321" s="590">
        <f ca="1">INT((RAND()*E286*AA321)*10)/10</f>
        <v>65</v>
      </c>
      <c r="AD321" s="590">
        <f ca="1" t="shared" si="51"/>
        <v>1</v>
      </c>
      <c r="AE321" s="608">
        <f t="shared" si="52"/>
        <v>126.95</v>
      </c>
      <c r="AF321" s="593">
        <f ca="1">INT(RAND()*F286*AB321)</f>
        <v>76</v>
      </c>
      <c r="AG321" s="590">
        <f ca="1" t="shared" si="53"/>
        <v>0</v>
      </c>
      <c r="AH321" s="608">
        <f t="shared" si="54"/>
        <v>958</v>
      </c>
    </row>
    <row r="322" spans="1:34" ht="12.75">
      <c r="A322" s="357">
        <v>1997</v>
      </c>
      <c r="B322" s="376">
        <f>IF(E287=1,AE322,"    Genere")</f>
        <v>102.125</v>
      </c>
      <c r="C322" s="432">
        <f>IF(E287=1,AH322,"    Genere")</f>
        <v>1154</v>
      </c>
      <c r="X322" s="599">
        <v>1997</v>
      </c>
      <c r="Y322" s="605">
        <v>93.2</v>
      </c>
      <c r="Z322" s="606">
        <v>1059</v>
      </c>
      <c r="AA322" s="607">
        <f>E284+E285*X322</f>
        <v>103.80000000000018</v>
      </c>
      <c r="AB322" s="591">
        <f>F284+F285*X322</f>
        <v>895.0499999999956</v>
      </c>
      <c r="AC322" s="590">
        <f ca="1">INT((RAND()*E286*AA322)*10)/10</f>
        <v>35.7</v>
      </c>
      <c r="AD322" s="590">
        <f ca="1" t="shared" si="51"/>
        <v>1</v>
      </c>
      <c r="AE322" s="608">
        <f t="shared" si="52"/>
        <v>102.125</v>
      </c>
      <c r="AF322" s="593">
        <f ca="1">INT(RAND()*F286*AB322)</f>
        <v>379</v>
      </c>
      <c r="AG322" s="590">
        <f ca="1" t="shared" si="53"/>
        <v>1</v>
      </c>
      <c r="AH322" s="608">
        <f t="shared" si="54"/>
        <v>1154</v>
      </c>
    </row>
    <row r="323" spans="1:34" ht="12.75">
      <c r="A323" s="357">
        <v>1998</v>
      </c>
      <c r="B323" s="376">
        <f>IF(E287=1,AE323,"    Genere")</f>
        <v>87.325</v>
      </c>
      <c r="C323" s="432">
        <f>IF(E287=1,AH323,"    Genere")</f>
        <v>1257</v>
      </c>
      <c r="X323" s="599">
        <v>1998</v>
      </c>
      <c r="Y323" s="605">
        <v>86.8</v>
      </c>
      <c r="Z323" s="606">
        <v>1168</v>
      </c>
      <c r="AA323" s="607">
        <f>E284+E285*X323</f>
        <v>107.19999999999982</v>
      </c>
      <c r="AB323" s="591">
        <f>F284+F285*X323</f>
        <v>927.6999999999971</v>
      </c>
      <c r="AC323" s="590">
        <f ca="1">INT((RAND()*E286*AA323)*10)/10</f>
        <v>2.1</v>
      </c>
      <c r="AD323" s="590">
        <f ca="1" t="shared" si="51"/>
        <v>1</v>
      </c>
      <c r="AE323" s="608">
        <f t="shared" si="52"/>
        <v>87.325</v>
      </c>
      <c r="AF323" s="593">
        <f ca="1">INT(RAND()*F286*AB323)</f>
        <v>356</v>
      </c>
      <c r="AG323" s="590">
        <f ca="1" t="shared" si="53"/>
        <v>1</v>
      </c>
      <c r="AH323" s="608">
        <f t="shared" si="54"/>
        <v>1257</v>
      </c>
    </row>
    <row r="324" spans="1:34" ht="12.75">
      <c r="A324" s="367">
        <v>1999</v>
      </c>
      <c r="B324" s="433">
        <f>IF(E287=1,AE324,"    Genere")</f>
        <v>85.725</v>
      </c>
      <c r="C324" s="433">
        <f>IF(E287=1,AH324,"    Genere")</f>
        <v>1370</v>
      </c>
      <c r="X324" s="609">
        <v>1999</v>
      </c>
      <c r="Y324" s="610">
        <v>100.8</v>
      </c>
      <c r="Z324" s="611">
        <v>1284</v>
      </c>
      <c r="AA324" s="607">
        <f>E284+E285*X324</f>
        <v>110.59999999999945</v>
      </c>
      <c r="AB324" s="591">
        <f>F284+F285*X324</f>
        <v>960.3499999999985</v>
      </c>
      <c r="AC324" s="590">
        <f ca="1">INT((RAND()*E286*AA324)*10)/10</f>
        <v>60.3</v>
      </c>
      <c r="AD324" s="590">
        <f ca="1" t="shared" si="51"/>
        <v>0</v>
      </c>
      <c r="AE324" s="608">
        <f t="shared" si="52"/>
        <v>85.725</v>
      </c>
      <c r="AF324" s="593">
        <f ca="1">INT(RAND()*F286*AB324)</f>
        <v>342</v>
      </c>
      <c r="AG324" s="590">
        <f ca="1" t="shared" si="53"/>
        <v>1</v>
      </c>
      <c r="AH324" s="608">
        <f t="shared" si="54"/>
        <v>1370</v>
      </c>
    </row>
    <row r="325" ht="12.75"/>
    <row r="326" ht="12.75"/>
  </sheetData>
  <sheetProtection password="89E6" sheet="1" objects="1" scenarios="1"/>
  <mergeCells count="6">
    <mergeCell ref="E282:F282"/>
    <mergeCell ref="G282:H282"/>
    <mergeCell ref="G106:H106"/>
    <mergeCell ref="B116:C116"/>
    <mergeCell ref="D116:E116"/>
    <mergeCell ref="F208:J208"/>
  </mergeCells>
  <printOptions/>
  <pageMargins left="0.75" right="0.75" top="1" bottom="1" header="0" footer="0"/>
  <pageSetup orientation="portrait" r:id="rId4"/>
  <ignoredErrors>
    <ignoredError sqref="AB16:AB202" formula="1"/>
  </ignoredErrors>
  <drawing r:id="rId3"/>
  <legacyDrawing r:id="rId2"/>
</worksheet>
</file>

<file path=xl/worksheets/sheet5.xml><?xml version="1.0" encoding="utf-8"?>
<worksheet xmlns="http://schemas.openxmlformats.org/spreadsheetml/2006/main" xmlns:r="http://schemas.openxmlformats.org/officeDocument/2006/relationships">
  <dimension ref="A10:Y177"/>
  <sheetViews>
    <sheetView workbookViewId="0" topLeftCell="A132">
      <selection activeCell="A155" sqref="A155"/>
    </sheetView>
  </sheetViews>
  <sheetFormatPr defaultColWidth="11.421875" defaultRowHeight="12.75"/>
  <cols>
    <col min="1" max="16384" width="11.421875" style="315" customWidth="1"/>
  </cols>
  <sheetData>
    <row r="10" ht="12.75">
      <c r="A10" s="351" t="s">
        <v>337</v>
      </c>
    </row>
    <row r="11" spans="1:12" ht="12.75">
      <c r="A11" s="316" t="s">
        <v>114</v>
      </c>
      <c r="B11" s="317" t="s">
        <v>338</v>
      </c>
      <c r="C11" s="317"/>
      <c r="D11" s="317"/>
      <c r="E11" s="317"/>
      <c r="F11" s="317"/>
      <c r="G11" s="317"/>
      <c r="H11" s="317"/>
      <c r="I11" s="317"/>
      <c r="J11" s="317"/>
      <c r="K11" s="317"/>
      <c r="L11" s="318"/>
    </row>
    <row r="12" spans="1:12" ht="12.75">
      <c r="A12" s="319" t="s">
        <v>117</v>
      </c>
      <c r="B12" s="320">
        <v>0.1</v>
      </c>
      <c r="C12" s="321">
        <f>B12-0.01</f>
        <v>0.09000000000000001</v>
      </c>
      <c r="D12" s="320">
        <f aca="true" t="shared" si="0" ref="D12:K12">C12-0.01</f>
        <v>0.08000000000000002</v>
      </c>
      <c r="E12" s="321">
        <f t="shared" si="0"/>
        <v>0.07000000000000002</v>
      </c>
      <c r="F12" s="320">
        <f t="shared" si="0"/>
        <v>0.06000000000000002</v>
      </c>
      <c r="G12" s="321">
        <f t="shared" si="0"/>
        <v>0.05000000000000002</v>
      </c>
      <c r="H12" s="320">
        <f t="shared" si="0"/>
        <v>0.040000000000000015</v>
      </c>
      <c r="I12" s="321">
        <f t="shared" si="0"/>
        <v>0.030000000000000013</v>
      </c>
      <c r="J12" s="320">
        <f t="shared" si="0"/>
        <v>0.02000000000000001</v>
      </c>
      <c r="K12" s="322">
        <f t="shared" si="0"/>
        <v>0.01000000000000001</v>
      </c>
      <c r="L12" s="323">
        <f>K12-0.005</f>
        <v>0.0050000000000000105</v>
      </c>
    </row>
    <row r="13" spans="1:12" ht="12.75">
      <c r="A13" s="324">
        <v>1</v>
      </c>
      <c r="B13" s="325">
        <f>TINV(B12,A13)</f>
        <v>6.313751513573862</v>
      </c>
      <c r="C13" s="326">
        <f>TINV(C12,A13)</f>
        <v>7.026366227820196</v>
      </c>
      <c r="D13" s="325">
        <f>TINV(D12,A13)</f>
        <v>7.91581508693406</v>
      </c>
      <c r="E13" s="326">
        <f>TINV(E12,A13)</f>
        <v>9.057886684673175</v>
      </c>
      <c r="F13" s="325">
        <f>TINV(F12,A13)</f>
        <v>10.578894991580885</v>
      </c>
      <c r="G13" s="327">
        <f>TINV(G12,A13)</f>
        <v>12.706204733986986</v>
      </c>
      <c r="H13" s="325">
        <f>TINV(H12,A13)</f>
        <v>15.894544841132678</v>
      </c>
      <c r="I13" s="326">
        <f>TINV(I12,A13)</f>
        <v>21.204948786047346</v>
      </c>
      <c r="J13" s="325">
        <f>TINV(J12,A13)</f>
        <v>31.820515948314096</v>
      </c>
      <c r="K13" s="328">
        <f>TINV(K12,A13)</f>
        <v>63.65674115195458</v>
      </c>
      <c r="L13" s="329">
        <f>TINV(L12,A13)</f>
        <v>127.32133644703933</v>
      </c>
    </row>
    <row r="14" spans="1:12" ht="12.75">
      <c r="A14" s="324">
        <v>2</v>
      </c>
      <c r="B14" s="325">
        <f>TINV(B12,A14)</f>
        <v>2.919985580097558</v>
      </c>
      <c r="C14" s="326">
        <f>TINV(C12,A14)</f>
        <v>3.103976694383679</v>
      </c>
      <c r="D14" s="325">
        <f>TINV(D12,A14)</f>
        <v>3.319764047657105</v>
      </c>
      <c r="E14" s="326">
        <f>TINV(E12,A14)</f>
        <v>3.5782466375922013</v>
      </c>
      <c r="F14" s="325">
        <f>TINV(F12,A14)</f>
        <v>3.896425359571537</v>
      </c>
      <c r="G14" s="327">
        <f>TINV(G12,A14)</f>
        <v>4.302652729544539</v>
      </c>
      <c r="H14" s="325">
        <f>TINV(H12,A14)</f>
        <v>4.8487322134337685</v>
      </c>
      <c r="I14" s="326">
        <f>TINV(I12,A14)</f>
        <v>5.642778353185195</v>
      </c>
      <c r="J14" s="325">
        <f>TINV(J12,A14)</f>
        <v>6.964556733963434</v>
      </c>
      <c r="K14" s="328">
        <f>TINV(K12,A14)</f>
        <v>9.924843200474697</v>
      </c>
      <c r="L14" s="329">
        <f>TINV(L12,A14)</f>
        <v>14.089047274930422</v>
      </c>
    </row>
    <row r="15" spans="1:12" ht="12.75">
      <c r="A15" s="324">
        <v>3</v>
      </c>
      <c r="B15" s="325">
        <f>TINV(B12,A15)</f>
        <v>2.353363434533132</v>
      </c>
      <c r="C15" s="326">
        <f>TINV(C12,A15)</f>
        <v>2.470806798752413</v>
      </c>
      <c r="D15" s="325">
        <f>TINV(D12,A15)</f>
        <v>2.6054268229441444</v>
      </c>
      <c r="E15" s="326">
        <f>TINV(E12,A15)</f>
        <v>2.76259896114576</v>
      </c>
      <c r="F15" s="325">
        <f>TINV(F12,A15)</f>
        <v>2.9505104691849313</v>
      </c>
      <c r="G15" s="327">
        <f>TINV(G12,A15)</f>
        <v>3.182446304886879</v>
      </c>
      <c r="H15" s="325">
        <f>TINV(H12,A15)</f>
        <v>3.4819087601193717</v>
      </c>
      <c r="I15" s="326">
        <f>TINV(I12,A15)</f>
        <v>3.896045934150419</v>
      </c>
      <c r="J15" s="325">
        <f>TINV(J12,A15)</f>
        <v>4.540702858421502</v>
      </c>
      <c r="K15" s="328">
        <f>TINV(K12,A15)</f>
        <v>5.840909309432213</v>
      </c>
      <c r="L15" s="329">
        <f>TINV(L12,A15)</f>
        <v>7.453318504919499</v>
      </c>
    </row>
    <row r="16" spans="1:12" ht="12.75">
      <c r="A16" s="324">
        <v>4</v>
      </c>
      <c r="B16" s="325">
        <f>TINV(B12,A16)</f>
        <v>2.1318467819039775</v>
      </c>
      <c r="C16" s="326">
        <f>TINV(C12,A16)</f>
        <v>2.2260995550310323</v>
      </c>
      <c r="D16" s="325">
        <f>TINV(D12,A16)</f>
        <v>2.332872559253466</v>
      </c>
      <c r="E16" s="326">
        <f>TINV(E12,A16)</f>
        <v>2.455891992012572</v>
      </c>
      <c r="F16" s="325">
        <f>TINV(F12,A16)</f>
        <v>2.600761994764124</v>
      </c>
      <c r="G16" s="327">
        <f>TINV(G12,A16)</f>
        <v>2.776445105043803</v>
      </c>
      <c r="H16" s="325">
        <f>TINV(H12,A16)</f>
        <v>2.998527873101475</v>
      </c>
      <c r="I16" s="326">
        <f>TINV(I12,A16)</f>
        <v>3.297629727084872</v>
      </c>
      <c r="J16" s="325">
        <f>TINV(J12,A16)</f>
        <v>3.74694738775648</v>
      </c>
      <c r="K16" s="328">
        <f>TINV(K12,A16)</f>
        <v>4.604094871232245</v>
      </c>
      <c r="L16" s="329">
        <f>TINV(L12,A16)</f>
        <v>5.5975683669463265</v>
      </c>
    </row>
    <row r="17" spans="1:12" ht="12.75">
      <c r="A17" s="324">
        <v>5</v>
      </c>
      <c r="B17" s="325">
        <f>TINV(B12,A17)</f>
        <v>2.0150483720881205</v>
      </c>
      <c r="C17" s="326">
        <f>TINV(C12,A17)</f>
        <v>2.097836667112505</v>
      </c>
      <c r="D17" s="325">
        <f>TINV(D12,A17)</f>
        <v>2.190958256831027</v>
      </c>
      <c r="E17" s="326">
        <f>TINV(E12,A17)</f>
        <v>2.2973923255678166</v>
      </c>
      <c r="F17" s="325">
        <f>TINV(F12,A17)</f>
        <v>2.421584707169708</v>
      </c>
      <c r="G17" s="327">
        <f>TINV(G12,A17)</f>
        <v>2.57058183469754</v>
      </c>
      <c r="H17" s="325">
        <f>TINV(H12,A17)</f>
        <v>2.756508521546438</v>
      </c>
      <c r="I17" s="326">
        <f>TINV(I12,A17)</f>
        <v>3.0028749736958398</v>
      </c>
      <c r="J17" s="325">
        <f>TINV(J12,A17)</f>
        <v>3.3649299973503766</v>
      </c>
      <c r="K17" s="328">
        <f>TINV(K12,A17)</f>
        <v>4.032142983343906</v>
      </c>
      <c r="L17" s="329">
        <f>TINV(L12,A17)</f>
        <v>4.773340604751684</v>
      </c>
    </row>
    <row r="18" spans="1:12" ht="12.75">
      <c r="A18" s="324"/>
      <c r="B18" s="325"/>
      <c r="C18" s="326"/>
      <c r="D18" s="325"/>
      <c r="E18" s="326"/>
      <c r="F18" s="325"/>
      <c r="G18" s="327"/>
      <c r="H18" s="325"/>
      <c r="I18" s="326"/>
      <c r="J18" s="325"/>
      <c r="K18" s="328"/>
      <c r="L18" s="329"/>
    </row>
    <row r="19" spans="1:12" ht="12.75">
      <c r="A19" s="324">
        <v>6</v>
      </c>
      <c r="B19" s="325">
        <f>TINV(B12,A19)</f>
        <v>1.943180274291977</v>
      </c>
      <c r="C19" s="326">
        <f>TINV(C12,A19)</f>
        <v>2.0192007948837887</v>
      </c>
      <c r="D19" s="325">
        <f>TINV(D12,A19)</f>
        <v>2.104306120686384</v>
      </c>
      <c r="E19" s="326">
        <f>TINV(E12,A19)</f>
        <v>2.2010589284189015</v>
      </c>
      <c r="F19" s="325">
        <f>TINV(F12,A19)</f>
        <v>2.3132632994066693</v>
      </c>
      <c r="G19" s="327">
        <f>TINV(G12,A19)</f>
        <v>2.4469118464326822</v>
      </c>
      <c r="H19" s="325">
        <f>TINV(H12,A19)</f>
        <v>2.612241845245614</v>
      </c>
      <c r="I19" s="326">
        <f>TINV(I12,A19)</f>
        <v>2.828927861909153</v>
      </c>
      <c r="J19" s="325">
        <f>TINV(J12,A19)</f>
        <v>3.1426684031300525</v>
      </c>
      <c r="K19" s="328">
        <f>TINV(K12,A19)</f>
        <v>3.707428020387214</v>
      </c>
      <c r="L19" s="329">
        <f>TINV(L12,A19)</f>
        <v>4.316827103450276</v>
      </c>
    </row>
    <row r="20" spans="1:12" ht="12.75">
      <c r="A20" s="324">
        <v>7</v>
      </c>
      <c r="B20" s="325">
        <f>TINV(B12,A20)</f>
        <v>1.894578603655801</v>
      </c>
      <c r="C20" s="326">
        <f>TINV(C12,A20)</f>
        <v>1.9661529510261695</v>
      </c>
      <c r="D20" s="325">
        <f>TINV(D12,A20)</f>
        <v>2.0460111021705405</v>
      </c>
      <c r="E20" s="326">
        <f>TINV(E12,A20)</f>
        <v>2.136452899292024</v>
      </c>
      <c r="F20" s="325">
        <f>TINV(F12,A20)</f>
        <v>2.240879287384759</v>
      </c>
      <c r="G20" s="327">
        <f>TINV(G12,A20)</f>
        <v>2.364624250949319</v>
      </c>
      <c r="H20" s="325">
        <f>TINV(H12,A20)</f>
        <v>2.5167524177125404</v>
      </c>
      <c r="I20" s="326">
        <f>TINV(I12,A20)</f>
        <v>2.7145730091460507</v>
      </c>
      <c r="J20" s="325">
        <f>TINV(J12,A20)</f>
        <v>2.9979515663577763</v>
      </c>
      <c r="K20" s="328">
        <f>TINV(K12,A20)</f>
        <v>3.4994832972544687</v>
      </c>
      <c r="L20" s="329">
        <f>TINV(L12,A20)</f>
        <v>4.029337177060016</v>
      </c>
    </row>
    <row r="21" spans="1:12" ht="12.75">
      <c r="A21" s="324">
        <v>8</v>
      </c>
      <c r="B21" s="325">
        <f>TINV(B12,A21)</f>
        <v>1.8595480333018273</v>
      </c>
      <c r="C21" s="326">
        <f>TINV(C12,A21)</f>
        <v>1.9279855202680314</v>
      </c>
      <c r="D21" s="325">
        <f>TINV(D12,A21)</f>
        <v>2.004151540299831</v>
      </c>
      <c r="E21" s="326">
        <f>TINV(E12,A21)</f>
        <v>2.0901660123324524</v>
      </c>
      <c r="F21" s="325">
        <f>TINV(F12,A21)</f>
        <v>2.1891548046801637</v>
      </c>
      <c r="G21" s="327">
        <f>TINV(G12,A21)</f>
        <v>2.3060041332991164</v>
      </c>
      <c r="H21" s="325">
        <f>TINV(H12,A21)</f>
        <v>2.448984988907476</v>
      </c>
      <c r="I21" s="326">
        <f>TINV(I12,A21)</f>
        <v>2.6338143723498346</v>
      </c>
      <c r="J21" s="325">
        <f>TINV(J12,A21)</f>
        <v>2.8964594462137514</v>
      </c>
      <c r="K21" s="328">
        <f>TINV(K12,A21)</f>
        <v>3.35538733113484</v>
      </c>
      <c r="L21" s="329">
        <f>TINV(L12,A21)</f>
        <v>3.8325186836355547</v>
      </c>
    </row>
    <row r="22" spans="1:12" ht="12.75">
      <c r="A22" s="324">
        <v>9</v>
      </c>
      <c r="B22" s="325">
        <f>TINV(B12,A22)</f>
        <v>1.83311292255007</v>
      </c>
      <c r="C22" s="326">
        <f>TINV(C12,A22)</f>
        <v>1.8992218141134773</v>
      </c>
      <c r="D22" s="325">
        <f>TINV(D12,A22)</f>
        <v>1.9726526490541798</v>
      </c>
      <c r="E22" s="326">
        <f>TINV(E12,A22)</f>
        <v>2.0553948580817973</v>
      </c>
      <c r="F22" s="325">
        <f>TINV(F12,A22)</f>
        <v>2.1503752680561004</v>
      </c>
      <c r="G22" s="327">
        <f>TINV(G12,A22)</f>
        <v>2.262157158173583</v>
      </c>
      <c r="H22" s="325">
        <f>TINV(H12,A22)</f>
        <v>2.3984409830267612</v>
      </c>
      <c r="I22" s="326">
        <f>TINV(I12,A22)</f>
        <v>2.5738039769492556</v>
      </c>
      <c r="J22" s="325">
        <f>TINV(J12,A22)</f>
        <v>2.8214379214105243</v>
      </c>
      <c r="K22" s="328">
        <f>TINV(K12,A22)</f>
        <v>3.2498355411274824</v>
      </c>
      <c r="L22" s="329">
        <f>TINV(L12,A22)</f>
        <v>3.689662392200618</v>
      </c>
    </row>
    <row r="23" spans="1:12" ht="12.75">
      <c r="A23" s="324">
        <v>10</v>
      </c>
      <c r="B23" s="325">
        <f>TINV(B12,A23)</f>
        <v>1.8124611021972235</v>
      </c>
      <c r="C23" s="326">
        <f>TINV(C12,A23)</f>
        <v>1.8767743762279614</v>
      </c>
      <c r="D23" s="325">
        <f>TINV(D12,A23)</f>
        <v>1.9480994624100165</v>
      </c>
      <c r="E23" s="326">
        <f>TINV(E12,A23)</f>
        <v>2.0283270143984664</v>
      </c>
      <c r="F23" s="325">
        <f>TINV(F12,A23)</f>
        <v>2.120233532226538</v>
      </c>
      <c r="G23" s="327">
        <f>TINV(G12,A23)</f>
        <v>2.228138842425868</v>
      </c>
      <c r="H23" s="325">
        <f>TINV(H12,A23)</f>
        <v>2.359314619819153</v>
      </c>
      <c r="I23" s="326">
        <f>TINV(I12,A23)</f>
        <v>2.5274842426917576</v>
      </c>
      <c r="J23" s="325">
        <f>TINV(J12,A23)</f>
        <v>2.763769457788457</v>
      </c>
      <c r="K23" s="328">
        <f>TINV(K12,A23)</f>
        <v>3.169272671609173</v>
      </c>
      <c r="L23" s="329">
        <f>TINV(L12,A23)</f>
        <v>3.581406201903012</v>
      </c>
    </row>
    <row r="24" spans="1:12" ht="12.75">
      <c r="A24" s="324"/>
      <c r="B24" s="325"/>
      <c r="C24" s="326"/>
      <c r="D24" s="325"/>
      <c r="E24" s="326"/>
      <c r="F24" s="325"/>
      <c r="G24" s="327"/>
      <c r="H24" s="325"/>
      <c r="I24" s="326"/>
      <c r="J24" s="325"/>
      <c r="K24" s="328"/>
      <c r="L24" s="329"/>
    </row>
    <row r="25" spans="1:12" ht="12.75">
      <c r="A25" s="324">
        <v>11</v>
      </c>
      <c r="B25" s="325">
        <f>TINV(B12,A25)</f>
        <v>1.7958848142321888</v>
      </c>
      <c r="C25" s="326">
        <f>TINV(C12,A25)</f>
        <v>1.8587719608052709</v>
      </c>
      <c r="D25" s="325">
        <f>TINV(D12,A25)</f>
        <v>1.9284268228702848</v>
      </c>
      <c r="E25" s="326">
        <f>TINV(E12,A25)</f>
        <v>2.006662751625047</v>
      </c>
      <c r="F25" s="325">
        <f>TINV(F12,A25)</f>
        <v>2.0961388359541466</v>
      </c>
      <c r="G25" s="327">
        <f>TINV(G12,A25)</f>
        <v>2.200985158721842</v>
      </c>
      <c r="H25" s="325">
        <f>TINV(H12,A25)</f>
        <v>2.328139826082354</v>
      </c>
      <c r="I25" s="326">
        <f>TINV(I12,A25)</f>
        <v>2.490663930745737</v>
      </c>
      <c r="J25" s="325">
        <f>TINV(J12,A25)</f>
        <v>2.7180791831764335</v>
      </c>
      <c r="K25" s="328">
        <f>TINV(K12,A25)</f>
        <v>3.1058065135821673</v>
      </c>
      <c r="L25" s="329">
        <f>TINV(L12,A25)</f>
        <v>3.4966141729007685</v>
      </c>
    </row>
    <row r="26" spans="1:12" ht="12.75">
      <c r="A26" s="324">
        <v>12</v>
      </c>
      <c r="B26" s="325">
        <f>TINV(B12,A26)</f>
        <v>1.7822875476056765</v>
      </c>
      <c r="C26" s="326">
        <f>TINV(C12,A26)</f>
        <v>1.8440151130929103</v>
      </c>
      <c r="D26" s="325">
        <f>TINV(D12,A26)</f>
        <v>1.912313303619206</v>
      </c>
      <c r="E26" s="326">
        <f>TINV(E12,A26)</f>
        <v>1.9889335037468716</v>
      </c>
      <c r="F26" s="325">
        <f>TINV(F12,A26)</f>
        <v>2.0764406233074144</v>
      </c>
      <c r="G26" s="327">
        <f>TINV(G12,A26)</f>
        <v>2.1788128271650695</v>
      </c>
      <c r="H26" s="325">
        <f>TINV(H12,A26)</f>
        <v>2.302721671140543</v>
      </c>
      <c r="I26" s="326">
        <f>TINV(I12,A26)</f>
        <v>2.460700161581202</v>
      </c>
      <c r="J26" s="325">
        <f>TINV(J12,A26)</f>
        <v>2.6809979919600373</v>
      </c>
      <c r="K26" s="328">
        <f>TINV(K12,A26)</f>
        <v>3.0545395859505016</v>
      </c>
      <c r="L26" s="329">
        <f>TINV(L12,A26)</f>
        <v>3.428444241657899</v>
      </c>
    </row>
    <row r="27" spans="1:12" ht="12.75">
      <c r="A27" s="324">
        <v>13</v>
      </c>
      <c r="B27" s="325">
        <f>TINV(B12,A27)</f>
        <v>1.7709333826482787</v>
      </c>
      <c r="C27" s="326">
        <f>TINV(C12,A27)</f>
        <v>1.8316997607516772</v>
      </c>
      <c r="D27" s="325">
        <f>TINV(D12,A27)</f>
        <v>1.898874470577487</v>
      </c>
      <c r="E27" s="326">
        <f>TINV(E12,A27)</f>
        <v>1.974157952444009</v>
      </c>
      <c r="F27" s="325">
        <f>TINV(F12,A27)</f>
        <v>2.060038062842205</v>
      </c>
      <c r="G27" s="327">
        <f>TINV(G12,A27)</f>
        <v>2.1603686522485352</v>
      </c>
      <c r="H27" s="325">
        <f>TINV(H12,A27)</f>
        <v>2.2816035620520205</v>
      </c>
      <c r="I27" s="326">
        <f>TINV(I12,A27)</f>
        <v>2.435845204713191</v>
      </c>
      <c r="J27" s="325">
        <f>TINV(J12,A27)</f>
        <v>2.650308835952977</v>
      </c>
      <c r="K27" s="328">
        <f>TINV(K12,A27)</f>
        <v>3.012275833134912</v>
      </c>
      <c r="L27" s="329">
        <f>TINV(L12,A27)</f>
        <v>3.372467939943122</v>
      </c>
    </row>
    <row r="28" spans="1:12" ht="12.75">
      <c r="A28" s="324">
        <v>14</v>
      </c>
      <c r="B28" s="325">
        <f>TINV(B12,A28)</f>
        <v>1.7613101150619617</v>
      </c>
      <c r="C28" s="326">
        <f>TINV(C12,A28)</f>
        <v>1.82126694853538</v>
      </c>
      <c r="D28" s="325">
        <f>TINV(D12,A28)</f>
        <v>1.8874961379638737</v>
      </c>
      <c r="E28" s="326">
        <f>TINV(E12,A28)</f>
        <v>1.9616556735344322</v>
      </c>
      <c r="F28" s="325">
        <f>TINV(F12,A28)</f>
        <v>2.0461690551822995</v>
      </c>
      <c r="G28" s="327">
        <f>TINV(G12,A28)</f>
        <v>2.144786681282085</v>
      </c>
      <c r="H28" s="325">
        <f>TINV(H12,A28)</f>
        <v>2.2637812762946954</v>
      </c>
      <c r="I28" s="326">
        <f>TINV(I12,A28)</f>
        <v>2.4148977162347993</v>
      </c>
      <c r="J28" s="325">
        <f>TINV(J12,A28)</f>
        <v>2.6244940644958863</v>
      </c>
      <c r="K28" s="328">
        <f>TINV(K12,A28)</f>
        <v>2.976842733953294</v>
      </c>
      <c r="L28" s="329">
        <f>TINV(L12,A28)</f>
        <v>3.3256958161508834</v>
      </c>
    </row>
    <row r="29" spans="1:12" ht="12.75">
      <c r="A29" s="324">
        <v>15</v>
      </c>
      <c r="B29" s="325">
        <f>TINV(B12,A29)</f>
        <v>1.7530503252078615</v>
      </c>
      <c r="C29" s="326">
        <f>TINV(C12,A29)</f>
        <v>1.8123160828697014</v>
      </c>
      <c r="D29" s="325">
        <f>TINV(D12,A29)</f>
        <v>1.8777386550565804</v>
      </c>
      <c r="E29" s="326">
        <f>TINV(E12,A29)</f>
        <v>1.9509400653646627</v>
      </c>
      <c r="F29" s="325">
        <f>TINV(F12,A29)</f>
        <v>2.034289391502556</v>
      </c>
      <c r="G29" s="327">
        <f>TINV(G12,A29)</f>
        <v>2.1314495356759524</v>
      </c>
      <c r="H29" s="325">
        <f>TINV(H12,A29)</f>
        <v>2.248540287483144</v>
      </c>
      <c r="I29" s="326">
        <f>TINV(I12,A29)</f>
        <v>2.397005036428057</v>
      </c>
      <c r="J29" s="325">
        <f>TINV(J12,A29)</f>
        <v>2.6024802903902327</v>
      </c>
      <c r="K29" s="328">
        <f>TINV(K12,A29)</f>
        <v>2.946712882834883</v>
      </c>
      <c r="L29" s="329">
        <f>TINV(L12,A29)</f>
        <v>3.286038568424564</v>
      </c>
    </row>
    <row r="30" spans="1:12" ht="12.75">
      <c r="A30" s="324"/>
      <c r="B30" s="325"/>
      <c r="C30" s="326"/>
      <c r="D30" s="325"/>
      <c r="E30" s="326"/>
      <c r="F30" s="325"/>
      <c r="G30" s="327"/>
      <c r="H30" s="325"/>
      <c r="I30" s="326"/>
      <c r="J30" s="325"/>
      <c r="K30" s="328"/>
      <c r="L30" s="329"/>
    </row>
    <row r="31" spans="1:12" ht="12.75">
      <c r="A31" s="324">
        <v>16</v>
      </c>
      <c r="B31" s="325">
        <f>TINV(B12,A31)</f>
        <v>1.7458836689428874</v>
      </c>
      <c r="C31" s="326">
        <f>TINV(C12,A31)</f>
        <v>1.804552609511132</v>
      </c>
      <c r="D31" s="325">
        <f>TINV(D12,A31)</f>
        <v>1.8692790262354664</v>
      </c>
      <c r="E31" s="326">
        <f>TINV(E12,A31)</f>
        <v>1.9416540616416311</v>
      </c>
      <c r="F31" s="325">
        <f>TINV(F12,A31)</f>
        <v>2.024000177297725</v>
      </c>
      <c r="G31" s="327">
        <f>TINV(G12,A31)</f>
        <v>2.119905285162578</v>
      </c>
      <c r="H31" s="325">
        <f>TINV(H12,A31)</f>
        <v>2.2353584245525564</v>
      </c>
      <c r="I31" s="326">
        <f>TINV(I12,A31)</f>
        <v>2.381545371398122</v>
      </c>
      <c r="J31" s="325">
        <f>TINV(J12,A31)</f>
        <v>2.5834871786903726</v>
      </c>
      <c r="K31" s="328">
        <f>TINV(K12,A31)</f>
        <v>2.9207816214826163</v>
      </c>
      <c r="L31" s="329">
        <f>TINV(L12,A31)</f>
        <v>3.251992870787565</v>
      </c>
    </row>
    <row r="32" spans="1:12" ht="12.75">
      <c r="A32" s="324">
        <v>17</v>
      </c>
      <c r="B32" s="325">
        <f>TINV(B12,A32)</f>
        <v>1.7396067156488346</v>
      </c>
      <c r="C32" s="326">
        <f>TINV(C12,A32)</f>
        <v>1.797755157799057</v>
      </c>
      <c r="D32" s="325">
        <f>TINV(D12,A32)</f>
        <v>1.8618746640983526</v>
      </c>
      <c r="E32" s="326">
        <f>TINV(E12,A32)</f>
        <v>1.933529711295627</v>
      </c>
      <c r="F32" s="325">
        <f>TINV(F12,A32)</f>
        <v>2.01500233015412</v>
      </c>
      <c r="G32" s="327">
        <f>TINV(G12,A32)</f>
        <v>2.1098155585926612</v>
      </c>
      <c r="H32" s="325">
        <f>TINV(H12,A32)</f>
        <v>2.223845299198932</v>
      </c>
      <c r="I32" s="326">
        <f>TINV(I12,A32)</f>
        <v>2.368054757951362</v>
      </c>
      <c r="J32" s="325">
        <f>TINV(J12,A32)</f>
        <v>2.5669339747001976</v>
      </c>
      <c r="K32" s="328">
        <f>TINV(K12,A32)</f>
        <v>2.898230518342512</v>
      </c>
      <c r="L32" s="329">
        <f>TINV(L12,A32)</f>
        <v>3.222449906431528</v>
      </c>
    </row>
    <row r="33" spans="1:12" ht="12.75">
      <c r="A33" s="324">
        <v>18</v>
      </c>
      <c r="B33" s="325">
        <f>TINV(B12,A33)</f>
        <v>1.7340635923093939</v>
      </c>
      <c r="C33" s="326">
        <f>TINV(C12,A33)</f>
        <v>1.7917540652200659</v>
      </c>
      <c r="D33" s="325">
        <f>TINV(D12,A33)</f>
        <v>1.8553398505729888</v>
      </c>
      <c r="E33" s="326">
        <f>TINV(E12,A33)</f>
        <v>1.926362037943286</v>
      </c>
      <c r="F33" s="325">
        <f>TINV(F12,A33)</f>
        <v>2.007067314047667</v>
      </c>
      <c r="G33" s="327">
        <f>TINV(G12,A33)</f>
        <v>2.1009220368611805</v>
      </c>
      <c r="H33" s="325">
        <f>TINV(H12,A33)</f>
        <v>2.2137032404084476</v>
      </c>
      <c r="I33" s="326">
        <f>TINV(I12,A33)</f>
        <v>2.356180003246558</v>
      </c>
      <c r="J33" s="325">
        <f>TINV(J12,A33)</f>
        <v>2.5523796182187537</v>
      </c>
      <c r="K33" s="328">
        <f>TINV(K12,A33)</f>
        <v>2.8784404709116362</v>
      </c>
      <c r="L33" s="329">
        <f>TINV(L12,A33)</f>
        <v>3.1965742219108275</v>
      </c>
    </row>
    <row r="34" spans="1:12" ht="12.75">
      <c r="A34" s="324">
        <v>19</v>
      </c>
      <c r="B34" s="325">
        <f>TINV(B12,A34)</f>
        <v>1.7291327924721895</v>
      </c>
      <c r="C34" s="326">
        <f>TINV(C12,A34)</f>
        <v>1.7864172291476872</v>
      </c>
      <c r="D34" s="325">
        <f>TINV(D12,A34)</f>
        <v>1.8495300335646774</v>
      </c>
      <c r="E34" s="326">
        <f>TINV(E12,A34)</f>
        <v>1.919991578055304</v>
      </c>
      <c r="F34" s="325">
        <f>TINV(F12,A34)</f>
        <v>2.000017463745216</v>
      </c>
      <c r="G34" s="327">
        <f>TINV(G12,A34)</f>
        <v>2.093024049854865</v>
      </c>
      <c r="H34" s="325">
        <f>TINV(H12,A34)</f>
        <v>2.20470133613151</v>
      </c>
      <c r="I34" s="326">
        <f>TINV(I12,A34)</f>
        <v>2.345647528179902</v>
      </c>
      <c r="J34" s="325">
        <f>TINV(J12,A34)</f>
        <v>2.5394831891909035</v>
      </c>
      <c r="K34" s="328">
        <f>TINV(K12,A34)</f>
        <v>2.8609346040387695</v>
      </c>
      <c r="L34" s="329">
        <f>TINV(L12,A34)</f>
        <v>3.173724530329638</v>
      </c>
    </row>
    <row r="35" spans="1:12" ht="12.75">
      <c r="A35" s="324">
        <v>20</v>
      </c>
      <c r="B35" s="325">
        <f>TINV(B12,A35)</f>
        <v>1.7247182182137983</v>
      </c>
      <c r="C35" s="326">
        <f>TINV(C12,A35)</f>
        <v>1.7816402051842295</v>
      </c>
      <c r="D35" s="325">
        <f>TINV(D12,A35)</f>
        <v>1.844330933579346</v>
      </c>
      <c r="E35" s="326">
        <f>TINV(E12,A35)</f>
        <v>1.9142924207662628</v>
      </c>
      <c r="F35" s="325">
        <f>TINV(F12,A35)</f>
        <v>1.9937125956281605</v>
      </c>
      <c r="G35" s="327">
        <f>TINV(G12,A35)</f>
        <v>2.085963441295542</v>
      </c>
      <c r="H35" s="325">
        <f>TINV(H12,A35)</f>
        <v>2.1966577269405265</v>
      </c>
      <c r="I35" s="326">
        <f>TINV(I12,A35)</f>
        <v>2.3362421527409216</v>
      </c>
      <c r="J35" s="325">
        <f>TINV(J12,A35)</f>
        <v>2.5279770008548947</v>
      </c>
      <c r="K35" s="328">
        <f>TINV(K12,A35)</f>
        <v>2.8453397066478177</v>
      </c>
      <c r="L35" s="329">
        <f>TINV(L12,A35)</f>
        <v>3.1534005322986225</v>
      </c>
    </row>
    <row r="36" spans="1:12" ht="12.75">
      <c r="A36" s="324"/>
      <c r="B36" s="325"/>
      <c r="C36" s="326"/>
      <c r="D36" s="325"/>
      <c r="E36" s="326"/>
      <c r="F36" s="325"/>
      <c r="G36" s="327"/>
      <c r="H36" s="325"/>
      <c r="I36" s="326"/>
      <c r="J36" s="325"/>
      <c r="K36" s="328"/>
      <c r="L36" s="329"/>
    </row>
    <row r="37" spans="1:12" ht="12.75">
      <c r="A37" s="324">
        <v>21</v>
      </c>
      <c r="B37" s="325">
        <f>TINV(B12,A37)</f>
        <v>1.720742871485346</v>
      </c>
      <c r="C37" s="326">
        <f>TINV(C12,A37)</f>
        <v>1.7773393441566836</v>
      </c>
      <c r="D37" s="325">
        <f>TINV(D12,A37)</f>
        <v>1.8396511311639046</v>
      </c>
      <c r="E37" s="326">
        <f>TINV(E12,A37)</f>
        <v>1.9091638289565243</v>
      </c>
      <c r="F37" s="325">
        <f>TINV(F12,A37)</f>
        <v>1.9880406245367888</v>
      </c>
      <c r="G37" s="327">
        <f>TINV(G12,A37)</f>
        <v>2.0796138370827215</v>
      </c>
      <c r="H37" s="325">
        <f>TINV(H12,A37)</f>
        <v>2.1894272672836586</v>
      </c>
      <c r="I37" s="326">
        <f>TINV(I12,A37)</f>
        <v>2.327792316262422</v>
      </c>
      <c r="J37" s="325">
        <f>TINV(J12,A37)</f>
        <v>2.517648013618806</v>
      </c>
      <c r="K37" s="328">
        <f>TINV(K12,A37)</f>
        <v>2.831359554055978</v>
      </c>
      <c r="L37" s="329">
        <f>TINV(L12,A37)</f>
        <v>3.1352062446246034</v>
      </c>
    </row>
    <row r="38" spans="1:12" ht="12.75">
      <c r="A38" s="324">
        <v>22</v>
      </c>
      <c r="B38" s="325">
        <f>TINV(B12,A38)</f>
        <v>1.717144335439826</v>
      </c>
      <c r="C38" s="326">
        <f>TINV(C12,A38)</f>
        <v>1.7734468642639767</v>
      </c>
      <c r="D38" s="325">
        <f>TINV(D12,A38)</f>
        <v>1.8354165626837595</v>
      </c>
      <c r="E38" s="326">
        <f>TINV(E12,A38)</f>
        <v>1.9045242815574621</v>
      </c>
      <c r="F38" s="325">
        <f>TINV(F12,A38)</f>
        <v>1.9829108635015942</v>
      </c>
      <c r="G38" s="327">
        <f>TINV(G12,A38)</f>
        <v>2.0738730583156064</v>
      </c>
      <c r="H38" s="325">
        <f>TINV(H12,A38)</f>
        <v>2.18289264583065</v>
      </c>
      <c r="I38" s="326">
        <f>TINV(I12,A38)</f>
        <v>2.320159566617696</v>
      </c>
      <c r="J38" s="325">
        <f>TINV(J12,A38)</f>
        <v>2.508324549844298</v>
      </c>
      <c r="K38" s="328">
        <f>TINV(K12,A38)</f>
        <v>2.818756055685423</v>
      </c>
      <c r="L38" s="329">
        <f>TINV(L12,A38)</f>
        <v>3.1188242058751436</v>
      </c>
    </row>
    <row r="39" spans="1:12" ht="12.75">
      <c r="A39" s="324">
        <v>23</v>
      </c>
      <c r="B39" s="325">
        <f>TINV(B12,A39)</f>
        <v>1.7138715170749599</v>
      </c>
      <c r="C39" s="326">
        <f>TINV(C12,A39)</f>
        <v>1.769907260580709</v>
      </c>
      <c r="D39" s="325">
        <f>TINV(D12,A39)</f>
        <v>1.831566603278152</v>
      </c>
      <c r="E39" s="326">
        <f>TINV(E12,A39)</f>
        <v>1.9003069984335959</v>
      </c>
      <c r="F39" s="325">
        <f>TINV(F12,A39)</f>
        <v>1.9782491525327681</v>
      </c>
      <c r="G39" s="327">
        <f>TINV(G12,A39)</f>
        <v>2.068657598610539</v>
      </c>
      <c r="H39" s="325">
        <f>TINV(H12,A39)</f>
        <v>2.1769581062837817</v>
      </c>
      <c r="I39" s="326">
        <f>TINV(I12,A39)</f>
        <v>2.3132309468569465</v>
      </c>
      <c r="J39" s="325">
        <f>TINV(J12,A39)</f>
        <v>2.499866735718629</v>
      </c>
      <c r="K39" s="328">
        <f>TINV(K12,A39)</f>
        <v>2.807335677788103</v>
      </c>
      <c r="L39" s="329">
        <f>TINV(L12,A39)</f>
        <v>3.103996961920262</v>
      </c>
    </row>
    <row r="40" spans="1:12" ht="12.75">
      <c r="A40" s="324">
        <v>24</v>
      </c>
      <c r="B40" s="325">
        <f>TINV(B12,A40)</f>
        <v>1.710882066733471</v>
      </c>
      <c r="C40" s="326">
        <f>TINV(C12,A40)</f>
        <v>1.766674646955718</v>
      </c>
      <c r="D40" s="325">
        <f>TINV(D12,A40)</f>
        <v>1.8280511522716654</v>
      </c>
      <c r="E40" s="326">
        <f>TINV(E12,A40)</f>
        <v>1.896456886115562</v>
      </c>
      <c r="F40" s="325">
        <f>TINV(F12,A40)</f>
        <v>1.9739942595534181</v>
      </c>
      <c r="G40" s="327">
        <f>TINV(G12,A40)</f>
        <v>2.063898547318068</v>
      </c>
      <c r="H40" s="325">
        <f>TINV(H12,A40)</f>
        <v>2.1715446698513503</v>
      </c>
      <c r="I40" s="326">
        <f>TINV(I12,A40)</f>
        <v>2.306913388957102</v>
      </c>
      <c r="J40" s="325">
        <f>TINV(J12,A40)</f>
        <v>2.4921594685663067</v>
      </c>
      <c r="K40" s="328">
        <f>TINV(K12,A40)</f>
        <v>2.7969394976065445</v>
      </c>
      <c r="L40" s="329">
        <f>TINV(L12,A40)</f>
        <v>3.090513547229614</v>
      </c>
    </row>
    <row r="41" spans="1:12" ht="12.75">
      <c r="A41" s="324">
        <v>25</v>
      </c>
      <c r="B41" s="325">
        <f>TINV(B12,A41)</f>
        <v>1.7081407452327646</v>
      </c>
      <c r="C41" s="326">
        <f>TINV(C12,A41)</f>
        <v>1.7637107596324633</v>
      </c>
      <c r="D41" s="325">
        <f>TINV(D12,A41)</f>
        <v>1.8248284453166659</v>
      </c>
      <c r="E41" s="326">
        <f>TINV(E12,A41)</f>
        <v>1.8929280143319152</v>
      </c>
      <c r="F41" s="325">
        <f>TINV(F12,A41)</f>
        <v>1.9700952103987497</v>
      </c>
      <c r="G41" s="327">
        <f>TINV(G12,A41)</f>
        <v>2.059538535658591</v>
      </c>
      <c r="H41" s="325">
        <f>TINV(H12,A41)</f>
        <v>2.16658662703112</v>
      </c>
      <c r="I41" s="326">
        <f>TINV(I12,A41)</f>
        <v>2.3011295237000198</v>
      </c>
      <c r="J41" s="325">
        <f>TINV(J12,A41)</f>
        <v>2.485107169908975</v>
      </c>
      <c r="K41" s="328">
        <f>TINV(K12,A41)</f>
        <v>2.7874358052060124</v>
      </c>
      <c r="L41" s="329">
        <f>TINV(L12,A41)</f>
        <v>3.0781994587573625</v>
      </c>
    </row>
    <row r="42" spans="1:12" ht="12.75">
      <c r="A42" s="324"/>
      <c r="B42" s="325"/>
      <c r="C42" s="326"/>
      <c r="D42" s="325"/>
      <c r="E42" s="326"/>
      <c r="F42" s="325"/>
      <c r="G42" s="327"/>
      <c r="H42" s="325"/>
      <c r="I42" s="326"/>
      <c r="J42" s="325"/>
      <c r="K42" s="328"/>
      <c r="L42" s="329"/>
    </row>
    <row r="43" spans="1:12" ht="12.75">
      <c r="A43" s="324">
        <v>35</v>
      </c>
      <c r="B43" s="325">
        <f>TINV(B12,A43)</f>
        <v>1.6895724395467924</v>
      </c>
      <c r="C43" s="326">
        <f>TINV(C12,A43)</f>
        <v>1.7436454510045651</v>
      </c>
      <c r="D43" s="325">
        <f>TINV(D12,A43)</f>
        <v>1.8030237045481856</v>
      </c>
      <c r="E43" s="326">
        <f>TINV(E12,A43)</f>
        <v>1.8690676304999405</v>
      </c>
      <c r="F43" s="325">
        <f>TINV(F12,A43)</f>
        <v>1.9437519537028995</v>
      </c>
      <c r="G43" s="327">
        <f>TINV(G12,A43)</f>
        <v>2.030107915448312</v>
      </c>
      <c r="H43" s="325">
        <f>TINV(H12,A43)</f>
        <v>2.133156597668581</v>
      </c>
      <c r="I43" s="326">
        <f>TINV(I12,A43)</f>
        <v>2.262187768108957</v>
      </c>
      <c r="J43" s="325">
        <f>TINV(J12,A43)</f>
        <v>2.4377225276433396</v>
      </c>
      <c r="K43" s="328">
        <f>TINV(K12,A43)</f>
        <v>2.723805585928967</v>
      </c>
      <c r="L43" s="329">
        <f>TINV(L12,A43)</f>
        <v>2.99604660547932</v>
      </c>
    </row>
    <row r="44" spans="1:12" ht="12.75">
      <c r="A44" s="324">
        <f>A43+5</f>
        <v>40</v>
      </c>
      <c r="B44" s="325">
        <f>TINV(B12,A44)</f>
        <v>1.6838510138074252</v>
      </c>
      <c r="C44" s="326">
        <f>TINV(C12,A44)</f>
        <v>1.7374664708462393</v>
      </c>
      <c r="D44" s="325">
        <f>TINV(D12,A44)</f>
        <v>1.7963135574999756</v>
      </c>
      <c r="E44" s="326">
        <f>TINV(E12,A44)</f>
        <v>1.8617304962906398</v>
      </c>
      <c r="F44" s="325">
        <f>TINV(F12,A44)</f>
        <v>1.935658479857869</v>
      </c>
      <c r="G44" s="327">
        <f>TINV(G12,A44)</f>
        <v>2.021075369850448</v>
      </c>
      <c r="H44" s="325">
        <f>TINV(H12,A44)</f>
        <v>2.1229098105933453</v>
      </c>
      <c r="I44" s="326">
        <f>TINV(I12,A44)</f>
        <v>2.250271372098962</v>
      </c>
      <c r="J44" s="325">
        <f>TINV(J12,A44)</f>
        <v>2.4232567744103797</v>
      </c>
      <c r="K44" s="328">
        <f>TINV(K12,A44)</f>
        <v>2.704459262279225</v>
      </c>
      <c r="L44" s="329">
        <f>TINV(L12,A44)</f>
        <v>2.9711712852544103</v>
      </c>
    </row>
    <row r="45" spans="1:12" ht="12.75">
      <c r="A45" s="324">
        <f aca="true" t="shared" si="1" ref="A45:A65">A44+5</f>
        <v>45</v>
      </c>
      <c r="B45" s="325">
        <f>TINV(B12,A45)</f>
        <v>1.679427393128674</v>
      </c>
      <c r="C45" s="326">
        <f>TINV(C12,A45)</f>
        <v>1.7326902824322121</v>
      </c>
      <c r="D45" s="325">
        <f>TINV(D12,A45)</f>
        <v>1.7911282796026664</v>
      </c>
      <c r="E45" s="326">
        <f>TINV(E12,A45)</f>
        <v>1.8560625361875496</v>
      </c>
      <c r="F45" s="325">
        <f>TINV(F12,A45)</f>
        <v>1.929408606737796</v>
      </c>
      <c r="G45" s="327">
        <f>TINV(G12,A45)</f>
        <v>2.0141033592669686</v>
      </c>
      <c r="H45" s="325">
        <f>TINV(H12,A45)</f>
        <v>2.1150048121972755</v>
      </c>
      <c r="I45" s="326">
        <f>TINV(I12,A45)</f>
        <v>2.241084780592961</v>
      </c>
      <c r="J45" s="325">
        <f>TINV(J12,A45)</f>
        <v>2.4121158685048636</v>
      </c>
      <c r="K45" s="328">
        <f>TINV(K12,A45)</f>
        <v>2.689585012019566</v>
      </c>
      <c r="L45" s="329">
        <f>TINV(L12,A45)</f>
        <v>2.9520791140651266</v>
      </c>
    </row>
    <row r="46" spans="1:12" ht="12.75">
      <c r="A46" s="324">
        <f t="shared" si="1"/>
        <v>50</v>
      </c>
      <c r="B46" s="325">
        <f>TINV(B12,A46)</f>
        <v>1.675905025642706</v>
      </c>
      <c r="C46" s="326">
        <f>TINV(C12,A46)</f>
        <v>1.7288879303617741</v>
      </c>
      <c r="D46" s="325">
        <f>TINV(D12,A46)</f>
        <v>1.7870012138582307</v>
      </c>
      <c r="E46" s="326">
        <f>TINV(E12,A46)</f>
        <v>1.8515523814020702</v>
      </c>
      <c r="F46" s="325">
        <f>TINV(F12,A46)</f>
        <v>1.9244368355824628</v>
      </c>
      <c r="G46" s="327">
        <f>TINV(G12,A46)</f>
        <v>2.0085590721432576</v>
      </c>
      <c r="H46" s="325">
        <f>TINV(H12,A46)</f>
        <v>2.108721263662347</v>
      </c>
      <c r="I46" s="326">
        <f>TINV(I12,A46)</f>
        <v>2.2337865259729828</v>
      </c>
      <c r="J46" s="325">
        <f>TINV(J12,A46)</f>
        <v>2.4032719068886133</v>
      </c>
      <c r="K46" s="328">
        <f>TINV(K12,A46)</f>
        <v>2.6777932611413595</v>
      </c>
      <c r="L46" s="329">
        <f>TINV(L12,A46)</f>
        <v>2.936964083135141</v>
      </c>
    </row>
    <row r="47" spans="1:12" ht="12.75">
      <c r="A47" s="324">
        <f t="shared" si="1"/>
        <v>55</v>
      </c>
      <c r="B47" s="325">
        <f>TINV(B12,A47)</f>
        <v>1.673033965771923</v>
      </c>
      <c r="C47" s="326">
        <f>TINV(C12,A47)</f>
        <v>1.7257891503001588</v>
      </c>
      <c r="D47" s="325">
        <f>TINV(D12,A47)</f>
        <v>1.783638378645064</v>
      </c>
      <c r="E47" s="326">
        <f>TINV(E12,A47)</f>
        <v>1.8478781755886198</v>
      </c>
      <c r="F47" s="325">
        <f>TINV(F12,A47)</f>
        <v>1.9203875279963913</v>
      </c>
      <c r="G47" s="327">
        <f>TINV(G12,A47)</f>
        <v>2.004044769377847</v>
      </c>
      <c r="H47" s="325">
        <f>TINV(H12,A47)</f>
        <v>2.103606746128989</v>
      </c>
      <c r="I47" s="326">
        <f>TINV(I12,A47)</f>
        <v>2.227848747220797</v>
      </c>
      <c r="J47" s="325">
        <f>TINV(J12,A47)</f>
        <v>2.3960810399454093</v>
      </c>
      <c r="K47" s="328">
        <f>TINV(K12,A47)</f>
        <v>2.668215976073597</v>
      </c>
      <c r="L47" s="329">
        <f>TINV(L12,A47)</f>
        <v>2.9247010339353894</v>
      </c>
    </row>
    <row r="48" spans="1:12" ht="12.75">
      <c r="A48" s="324"/>
      <c r="B48" s="325"/>
      <c r="C48" s="326"/>
      <c r="D48" s="325"/>
      <c r="E48" s="326"/>
      <c r="F48" s="325"/>
      <c r="G48" s="327"/>
      <c r="H48" s="325"/>
      <c r="I48" s="326"/>
      <c r="J48" s="325"/>
      <c r="K48" s="328"/>
      <c r="L48" s="329"/>
    </row>
    <row r="49" spans="1:12" ht="12.75">
      <c r="A49" s="324">
        <f>A47+5</f>
        <v>60</v>
      </c>
      <c r="B49" s="325">
        <f>TINV(B12,A49)</f>
        <v>1.6706488653884</v>
      </c>
      <c r="C49" s="326">
        <f>TINV(C12,A49)</f>
        <v>1.723215210844705</v>
      </c>
      <c r="D49" s="325">
        <f>TINV(D12,A49)</f>
        <v>1.7808455212515097</v>
      </c>
      <c r="E49" s="326">
        <f>TINV(E12,A49)</f>
        <v>1.8448272785176671</v>
      </c>
      <c r="F49" s="325">
        <f>TINV(F12,A49)</f>
        <v>1.9170257671670714</v>
      </c>
      <c r="G49" s="327">
        <f>TINV(G12,A49)</f>
        <v>2.000297804329535</v>
      </c>
      <c r="H49" s="325">
        <f>TINV(H12,A49)</f>
        <v>2.099362815141501</v>
      </c>
      <c r="I49" s="326">
        <f>TINV(I12,A49)</f>
        <v>2.2229234683076253</v>
      </c>
      <c r="J49" s="325">
        <f>TINV(J12,A49)</f>
        <v>2.3901194570284554</v>
      </c>
      <c r="K49" s="328">
        <f>TINV(K12,A49)</f>
        <v>2.6602830137229336</v>
      </c>
      <c r="L49" s="329">
        <f>TINV(L12,A49)</f>
        <v>2.914552571927932</v>
      </c>
    </row>
    <row r="50" spans="1:12" ht="12.75">
      <c r="A50" s="324">
        <f t="shared" si="1"/>
        <v>65</v>
      </c>
      <c r="B50" s="325">
        <f>TINV(B12,A50)</f>
        <v>1.668635976332697</v>
      </c>
      <c r="C50" s="326">
        <f>TINV(C12,A50)</f>
        <v>1.7210431899844427</v>
      </c>
      <c r="D50" s="325">
        <f>TINV(D12,A50)</f>
        <v>1.7784890595200094</v>
      </c>
      <c r="E50" s="326">
        <f>TINV(E12,A50)</f>
        <v>1.8422534289005994</v>
      </c>
      <c r="F50" s="325">
        <f>TINV(F12,A50)</f>
        <v>1.914190155765925</v>
      </c>
      <c r="G50" s="327">
        <f>TINV(G12,A50)</f>
        <v>1.9971378866881433</v>
      </c>
      <c r="H50" s="325">
        <f>TINV(H12,A50)</f>
        <v>2.095784638456257</v>
      </c>
      <c r="I50" s="326">
        <f>TINV(I12,A50)</f>
        <v>2.2187720993951894</v>
      </c>
      <c r="J50" s="325">
        <f>TINV(J12,A50)</f>
        <v>2.385096796909819</v>
      </c>
      <c r="K50" s="328">
        <f>TINV(K12,A50)</f>
        <v>2.653604451474779</v>
      </c>
      <c r="L50" s="329">
        <f>TINV(L12,A50)</f>
        <v>2.906015282756658</v>
      </c>
    </row>
    <row r="51" spans="1:12" ht="12.75">
      <c r="A51" s="324">
        <f t="shared" si="1"/>
        <v>70</v>
      </c>
      <c r="B51" s="325">
        <f>TINV(B12,A51)</f>
        <v>1.6669144795421262</v>
      </c>
      <c r="C51" s="326">
        <f>TINV(C12,A51)</f>
        <v>1.7191858285844277</v>
      </c>
      <c r="D51" s="325">
        <f>TINV(D12,A51)</f>
        <v>1.7764741270712374</v>
      </c>
      <c r="E51" s="326">
        <f>TINV(E12,A51)</f>
        <v>1.8400528791367985</v>
      </c>
      <c r="F51" s="325">
        <f>TINV(F12,A51)</f>
        <v>1.9117661437287792</v>
      </c>
      <c r="G51" s="327">
        <f>TINV(G12,A51)</f>
        <v>1.9944370858696794</v>
      </c>
      <c r="H51" s="325">
        <f>TINV(H12,A51)</f>
        <v>2.092726963689713</v>
      </c>
      <c r="I51" s="326">
        <f>TINV(I12,A51)</f>
        <v>2.2152255357560646</v>
      </c>
      <c r="J51" s="325">
        <f>TINV(J12,A51)</f>
        <v>2.3808074604412797</v>
      </c>
      <c r="K51" s="328">
        <f>TINV(K12,A51)</f>
        <v>2.6479046030491853</v>
      </c>
      <c r="L51" s="329">
        <f>TINV(L12,A51)</f>
        <v>2.8987337699011206</v>
      </c>
    </row>
    <row r="52" spans="1:12" ht="12.75">
      <c r="A52" s="324">
        <f t="shared" si="1"/>
        <v>75</v>
      </c>
      <c r="B52" s="325">
        <f>TINV(B12,A52)</f>
        <v>1.6654253738095788</v>
      </c>
      <c r="C52" s="326">
        <f>TINV(C12,A52)</f>
        <v>1.7175792851673752</v>
      </c>
      <c r="D52" s="325">
        <f>TINV(D12,A52)</f>
        <v>1.7747314953941187</v>
      </c>
      <c r="E52" s="326">
        <f>TINV(E12,A52)</f>
        <v>1.8381499112811284</v>
      </c>
      <c r="F52" s="325">
        <f>TINV(F12,A52)</f>
        <v>1.9096701816752377</v>
      </c>
      <c r="G52" s="327">
        <f>TINV(G12,A52)</f>
        <v>1.9921021237820233</v>
      </c>
      <c r="H52" s="325">
        <f>TINV(H12,A52)</f>
        <v>2.0900839255259385</v>
      </c>
      <c r="I52" s="326">
        <f>TINV(I12,A52)</f>
        <v>2.2121605916898854</v>
      </c>
      <c r="J52" s="325">
        <f>TINV(J12,A52)</f>
        <v>2.3771017873599956</v>
      </c>
      <c r="K52" s="328">
        <f>TINV(K12,A52)</f>
        <v>2.642983043483256</v>
      </c>
      <c r="L52" s="329">
        <f>TINV(L12,A52)</f>
        <v>2.8924499865940074</v>
      </c>
    </row>
    <row r="53" spans="1:12" ht="12.75">
      <c r="A53" s="324">
        <f t="shared" si="1"/>
        <v>80</v>
      </c>
      <c r="B53" s="325">
        <f>TINV(B12,A53)</f>
        <v>1.6641245790775119</v>
      </c>
      <c r="C53" s="326">
        <f>TINV(C12,A53)</f>
        <v>1.7161760017704188</v>
      </c>
      <c r="D53" s="325">
        <f>TINV(D12,A53)</f>
        <v>1.7732094614162124</v>
      </c>
      <c r="E53" s="326">
        <f>TINV(E12,A53)</f>
        <v>1.8364879873187032</v>
      </c>
      <c r="F53" s="325">
        <f>TINV(F12,A53)</f>
        <v>1.90783994402158</v>
      </c>
      <c r="G53" s="327">
        <f>TINV(G12,A53)</f>
        <v>1.990063386642401</v>
      </c>
      <c r="H53" s="325">
        <f>TINV(H12,A53)</f>
        <v>2.087776582063805</v>
      </c>
      <c r="I53" s="326">
        <f>TINV(I12,A53)</f>
        <v>2.2094854061511517</v>
      </c>
      <c r="J53" s="325">
        <f>TINV(J12,A53)</f>
        <v>2.3738682447633437</v>
      </c>
      <c r="K53" s="328">
        <f>TINV(K12,A53)</f>
        <v>2.638690591279497</v>
      </c>
      <c r="L53" s="329">
        <f>TINV(L12,A53)</f>
        <v>2.8869720443683784</v>
      </c>
    </row>
    <row r="54" spans="1:12" ht="12.75">
      <c r="A54" s="324"/>
      <c r="B54" s="325"/>
      <c r="C54" s="326"/>
      <c r="D54" s="325"/>
      <c r="E54" s="326"/>
      <c r="F54" s="325"/>
      <c r="G54" s="327"/>
      <c r="H54" s="325"/>
      <c r="I54" s="326"/>
      <c r="J54" s="325"/>
      <c r="K54" s="328"/>
      <c r="L54" s="329"/>
    </row>
    <row r="55" spans="1:12" ht="12.75">
      <c r="A55" s="324">
        <f>A53+5</f>
        <v>85</v>
      </c>
      <c r="B55" s="325">
        <f>TINV(B12,A55)</f>
        <v>1.662978500190127</v>
      </c>
      <c r="C55" s="326">
        <f>TINV(C12,A55)</f>
        <v>1.7149396997869837</v>
      </c>
      <c r="D55" s="325">
        <f>TINV(D12,A55)</f>
        <v>1.7718686841884415</v>
      </c>
      <c r="E55" s="326">
        <f>TINV(E12,A55)</f>
        <v>1.8350240380342404</v>
      </c>
      <c r="F55" s="325">
        <f>TINV(F12,A55)</f>
        <v>1.9062278427705124</v>
      </c>
      <c r="G55" s="327">
        <f>TINV(G12,A55)</f>
        <v>1.9882678684396424</v>
      </c>
      <c r="H55" s="325">
        <f>TINV(H12,A55)</f>
        <v>2.085744740657172</v>
      </c>
      <c r="I55" s="326">
        <f>TINV(I12,A55)</f>
        <v>2.207130081599419</v>
      </c>
      <c r="J55" s="325">
        <f>TINV(J12,A55)</f>
        <v>2.3710220133180107</v>
      </c>
      <c r="K55" s="328">
        <f>TINV(K12,A55)</f>
        <v>2.6349138465565556</v>
      </c>
      <c r="L55" s="329">
        <f>TINV(L12,A55)</f>
        <v>2.8821542906330704</v>
      </c>
    </row>
    <row r="56" spans="1:12" ht="12.75">
      <c r="A56" s="324">
        <f t="shared" si="1"/>
        <v>90</v>
      </c>
      <c r="B56" s="325">
        <f>TINV(B12,A56)</f>
        <v>1.661961084518806</v>
      </c>
      <c r="C56" s="326">
        <f>TINV(C12,A56)</f>
        <v>1.713842249099986</v>
      </c>
      <c r="D56" s="325">
        <f>TINV(D12,A56)</f>
        <v>1.770678523989873</v>
      </c>
      <c r="E56" s="326">
        <f>TINV(E12,A56)</f>
        <v>1.83372467781391</v>
      </c>
      <c r="F56" s="325">
        <f>TINV(F12,A56)</f>
        <v>1.9047971024120027</v>
      </c>
      <c r="G56" s="327">
        <f>TINV(G12,A56)</f>
        <v>1.9866744972387487</v>
      </c>
      <c r="H56" s="325">
        <f>TINV(H12,A56)</f>
        <v>2.0839418636554807</v>
      </c>
      <c r="I56" s="326">
        <f>TINV(I12,A56)</f>
        <v>2.205040490367633</v>
      </c>
      <c r="J56" s="325">
        <f>TINV(J12,A56)</f>
        <v>2.36849744179118</v>
      </c>
      <c r="K56" s="328">
        <f>TINV(K12,A56)</f>
        <v>2.6315651592582574</v>
      </c>
      <c r="L56" s="329">
        <f>TINV(L12,A56)</f>
        <v>2.8778841756582993</v>
      </c>
    </row>
    <row r="57" spans="1:12" ht="12.75">
      <c r="A57" s="324">
        <f t="shared" si="1"/>
        <v>95</v>
      </c>
      <c r="B57" s="325">
        <f>TINV(B12,A57)</f>
        <v>1.661051817766226</v>
      </c>
      <c r="C57" s="326">
        <f>TINV(C12,A57)</f>
        <v>1.7128615687821767</v>
      </c>
      <c r="D57" s="325">
        <f>TINV(D12,A57)</f>
        <v>1.7696149845836242</v>
      </c>
      <c r="E57" s="326">
        <f>TINV(E12,A57)</f>
        <v>1.832563628005523</v>
      </c>
      <c r="F57" s="325">
        <f>TINV(F12,A57)</f>
        <v>1.9035187491360093</v>
      </c>
      <c r="G57" s="327">
        <f>TINV(G12,A57)</f>
        <v>1.985250955636591</v>
      </c>
      <c r="H57" s="325">
        <f>TINV(H12,A57)</f>
        <v>2.0823313145651197</v>
      </c>
      <c r="I57" s="326">
        <f>TINV(I12,A57)</f>
        <v>2.20317406493803</v>
      </c>
      <c r="J57" s="325">
        <f>TINV(J12,A57)</f>
        <v>2.366242950350931</v>
      </c>
      <c r="K57" s="328">
        <f>TINV(K12,A57)</f>
        <v>2.628575663828107</v>
      </c>
      <c r="L57" s="329">
        <f>TINV(L12,A57)</f>
        <v>2.874073354908373</v>
      </c>
    </row>
    <row r="58" spans="1:12" ht="12.75">
      <c r="A58" s="324">
        <f t="shared" si="1"/>
        <v>100</v>
      </c>
      <c r="B58" s="325">
        <f>TINV(B12,A58)</f>
        <v>1.6602343265745434</v>
      </c>
      <c r="C58" s="326">
        <f>TINV(C12,A58)</f>
        <v>1.7119798566339544</v>
      </c>
      <c r="D58" s="325">
        <f>TINV(D12,A58)</f>
        <v>1.7686588802905265</v>
      </c>
      <c r="E58" s="326">
        <f>TINV(E12,A58)</f>
        <v>1.831519921406628</v>
      </c>
      <c r="F58" s="325">
        <f>TINV(F12,A58)</f>
        <v>1.9023696686375753</v>
      </c>
      <c r="G58" s="327">
        <f>TINV(G12,A58)</f>
        <v>1.9839714662943697</v>
      </c>
      <c r="H58" s="325">
        <f>TINV(H12,A58)</f>
        <v>2.0808838770832505</v>
      </c>
      <c r="I58" s="326">
        <f>TINV(I12,A58)</f>
        <v>2.2014968683431846</v>
      </c>
      <c r="J58" s="325">
        <f>TINV(J12,A58)</f>
        <v>2.3642173559970434</v>
      </c>
      <c r="K58" s="328">
        <f>TINV(K12,A58)</f>
        <v>2.625890513865742</v>
      </c>
      <c r="L58" s="329">
        <f>TINV(L12,A58)</f>
        <v>2.870651514614482</v>
      </c>
    </row>
    <row r="59" spans="1:12" ht="12.75">
      <c r="A59" s="324">
        <f t="shared" si="1"/>
        <v>105</v>
      </c>
      <c r="B59" s="325">
        <f>TINV(B12,A59)</f>
        <v>1.6594953838965147</v>
      </c>
      <c r="C59" s="326">
        <f>TINV(C12,A59)</f>
        <v>1.711182895129753</v>
      </c>
      <c r="D59" s="325">
        <f>TINV(D12,A59)</f>
        <v>1.7677947150339293</v>
      </c>
      <c r="E59" s="326">
        <f>TINV(E12,A59)</f>
        <v>1.830576624902485</v>
      </c>
      <c r="F59" s="325">
        <f>TINV(F12,A59)</f>
        <v>1.9013311961974804</v>
      </c>
      <c r="G59" s="327">
        <f>TINV(G12,A59)</f>
        <v>1.9828152172647813</v>
      </c>
      <c r="H59" s="325">
        <f>TINV(H12,A59)</f>
        <v>2.079575967128501</v>
      </c>
      <c r="I59" s="326">
        <f>TINV(I12,A59)</f>
        <v>2.1999815124672617</v>
      </c>
      <c r="J59" s="325">
        <f>TINV(J12,A59)</f>
        <v>2.362387503846305</v>
      </c>
      <c r="K59" s="328">
        <f>TINV(K12,A59)</f>
        <v>2.6234654877182715</v>
      </c>
      <c r="L59" s="329">
        <f>TINV(L12,A59)</f>
        <v>2.8675619954667546</v>
      </c>
    </row>
    <row r="60" spans="1:12" ht="12.75">
      <c r="A60" s="324"/>
      <c r="B60" s="325"/>
      <c r="C60" s="326"/>
      <c r="D60" s="325"/>
      <c r="E60" s="326"/>
      <c r="F60" s="325"/>
      <c r="G60" s="327"/>
      <c r="H60" s="325"/>
      <c r="I60" s="326"/>
      <c r="J60" s="325"/>
      <c r="K60" s="328"/>
      <c r="L60" s="329"/>
    </row>
    <row r="61" spans="1:12" ht="12.75">
      <c r="A61" s="324">
        <f>A59+5</f>
        <v>110</v>
      </c>
      <c r="B61" s="325">
        <f>TINV(B12,A61)</f>
        <v>1.658824187904071</v>
      </c>
      <c r="C61" s="326">
        <f>TINV(C12,A61)</f>
        <v>1.7104590254211764</v>
      </c>
      <c r="D61" s="325">
        <f>TINV(D12,A61)</f>
        <v>1.7670098361073658</v>
      </c>
      <c r="E61" s="326">
        <f>TINV(E12,A61)</f>
        <v>1.8297199138139946</v>
      </c>
      <c r="F61" s="325">
        <f>TINV(F12,A61)</f>
        <v>1.900388095168629</v>
      </c>
      <c r="G61" s="327">
        <f>TINV(G12,A61)</f>
        <v>1.9817652213721746</v>
      </c>
      <c r="H61" s="325">
        <f>TINV(H12,A61)</f>
        <v>2.078388338081922</v>
      </c>
      <c r="I61" s="326">
        <f>TINV(I12,A61)</f>
        <v>2.1986056511278536</v>
      </c>
      <c r="J61" s="325">
        <f>TINV(J12,A61)</f>
        <v>2.3607263296863525</v>
      </c>
      <c r="K61" s="328">
        <f>TINV(K12,A61)</f>
        <v>2.621264534712928</v>
      </c>
      <c r="L61" s="329">
        <f>TINV(L12,A61)</f>
        <v>2.8647586318269376</v>
      </c>
    </row>
    <row r="62" spans="1:12" ht="12.75">
      <c r="A62" s="324">
        <f t="shared" si="1"/>
        <v>115</v>
      </c>
      <c r="B62" s="325">
        <f>TINV(B12,A62)</f>
        <v>1.6582118305211169</v>
      </c>
      <c r="C62" s="326">
        <f>TINV(C12,A62)</f>
        <v>1.7097986333504362</v>
      </c>
      <c r="D62" s="325">
        <f>TINV(D12,A62)</f>
        <v>1.7662938106289467</v>
      </c>
      <c r="E62" s="326">
        <f>TINV(E12,A62)</f>
        <v>1.8289383899343443</v>
      </c>
      <c r="F62" s="325">
        <f>TINV(F12,A62)</f>
        <v>1.899527804518912</v>
      </c>
      <c r="G62" s="327">
        <f>TINV(G12,A62)</f>
        <v>1.9808074761938923</v>
      </c>
      <c r="H62" s="325">
        <f>TINV(H12,A62)</f>
        <v>2.0773051274919467</v>
      </c>
      <c r="I62" s="326">
        <f>TINV(I12,A62)</f>
        <v>2.197350870935754</v>
      </c>
      <c r="J62" s="325">
        <f>TINV(J12,A62)</f>
        <v>2.3592115386517856</v>
      </c>
      <c r="K62" s="328">
        <f>TINV(K12,A62)</f>
        <v>2.619257971362047</v>
      </c>
      <c r="L62" s="329">
        <f>TINV(L12,A62)</f>
        <v>2.8622034300354313</v>
      </c>
    </row>
    <row r="63" spans="1:12" ht="12.75">
      <c r="A63" s="324">
        <f t="shared" si="1"/>
        <v>120</v>
      </c>
      <c r="B63" s="325">
        <f>TINV(B12,A63)</f>
        <v>1.6576508998454447</v>
      </c>
      <c r="C63" s="326">
        <f>TINV(C12,A63)</f>
        <v>1.709193720046334</v>
      </c>
      <c r="D63" s="325">
        <f>TINV(D12,A63)</f>
        <v>1.765637959189179</v>
      </c>
      <c r="E63" s="326">
        <f>TINV(E12,A63)</f>
        <v>1.8282226246645834</v>
      </c>
      <c r="F63" s="325">
        <f>TINV(F12,A63)</f>
        <v>1.8987398762313048</v>
      </c>
      <c r="G63" s="327">
        <f>TINV(G12,A63)</f>
        <v>1.9799303810037054</v>
      </c>
      <c r="H63" s="325">
        <f>TINV(H12,A63)</f>
        <v>2.0763131446070666</v>
      </c>
      <c r="I63" s="326">
        <f>TINV(I12,A63)</f>
        <v>2.1962018625978112</v>
      </c>
      <c r="J63" s="325">
        <f>TINV(J12,A63)</f>
        <v>2.357824599005217</v>
      </c>
      <c r="K63" s="328">
        <f>TINV(K12,A63)</f>
        <v>2.6174211351785717</v>
      </c>
      <c r="L63" s="329">
        <f>TINV(L12,A63)</f>
        <v>2.859864836960192</v>
      </c>
    </row>
    <row r="64" spans="1:12" ht="12.75">
      <c r="A64" s="324">
        <f t="shared" si="1"/>
        <v>125</v>
      </c>
      <c r="B64" s="325">
        <f>TINV(B12,A64)</f>
        <v>1.6571351786935744</v>
      </c>
      <c r="C64" s="326">
        <f>TINV(C12,A64)</f>
        <v>1.7086375763687687</v>
      </c>
      <c r="D64" s="325">
        <f>TINV(D12,A64)</f>
        <v>1.7650350023249253</v>
      </c>
      <c r="E64" s="326">
        <f>TINV(E12,A64)</f>
        <v>1.8275645629888024</v>
      </c>
      <c r="F64" s="325">
        <f>TINV(F12,A64)</f>
        <v>1.8980155489296746</v>
      </c>
      <c r="G64" s="327">
        <f>TINV(G12,A64)</f>
        <v>1.979124083752387</v>
      </c>
      <c r="H64" s="325">
        <f>TINV(H12,A64)</f>
        <v>2.075401330626547</v>
      </c>
      <c r="I64" s="326">
        <f>TINV(I12,A64)</f>
        <v>2.195145793283082</v>
      </c>
      <c r="J64" s="325">
        <f>TINV(J12,A64)</f>
        <v>2.3565499803422645</v>
      </c>
      <c r="K64" s="328">
        <f>TINV(K12,A64)</f>
        <v>2.6157333661613373</v>
      </c>
      <c r="L64" s="329">
        <f>TINV(L12,A64)</f>
        <v>2.8577164308482406</v>
      </c>
    </row>
    <row r="65" spans="1:12" ht="12.75">
      <c r="A65" s="330">
        <f t="shared" si="1"/>
        <v>130</v>
      </c>
      <c r="B65" s="331">
        <f>TINV(B12,A65)</f>
        <v>1.656659413209573</v>
      </c>
      <c r="C65" s="332">
        <f>TINV(C12,A65)</f>
        <v>1.708124533042389</v>
      </c>
      <c r="D65" s="331">
        <f>TINV(D12,A65)</f>
        <v>1.7644787892080633</v>
      </c>
      <c r="E65" s="332">
        <f>TINV(E12,A65)</f>
        <v>1.8269575365622006</v>
      </c>
      <c r="F65" s="331">
        <f>TINV(F12,A65)</f>
        <v>1.8973474207406507</v>
      </c>
      <c r="G65" s="333">
        <f>TINV(G12,A65)</f>
        <v>1.978380378208128</v>
      </c>
      <c r="H65" s="331">
        <f>TINV(H12,A65)</f>
        <v>2.0745603447175043</v>
      </c>
      <c r="I65" s="332">
        <f>TINV(I12,A65)</f>
        <v>2.1941718253516855</v>
      </c>
      <c r="J65" s="331">
        <f>TINV(J12,A65)</f>
        <v>2.3553745696479282</v>
      </c>
      <c r="K65" s="334">
        <f>TINV(K12,A65)</f>
        <v>2.6141772265313357</v>
      </c>
      <c r="L65" s="335">
        <f>TINV(L12,A65)</f>
        <v>2.8557359190131235</v>
      </c>
    </row>
    <row r="66" spans="2:12" ht="12.75">
      <c r="B66" s="336"/>
      <c r="C66" s="336"/>
      <c r="D66" s="336"/>
      <c r="E66" s="336"/>
      <c r="F66" s="336"/>
      <c r="G66" s="336"/>
      <c r="H66" s="336"/>
      <c r="I66" s="336"/>
      <c r="J66" s="336"/>
      <c r="K66" s="336"/>
      <c r="L66" s="336"/>
    </row>
    <row r="67" spans="1:12" ht="12.75">
      <c r="A67" s="337"/>
      <c r="B67" s="338"/>
      <c r="C67" s="338"/>
      <c r="D67" s="338"/>
      <c r="E67" s="338"/>
      <c r="F67" s="338"/>
      <c r="G67" s="339"/>
      <c r="H67" s="338"/>
      <c r="I67" s="338"/>
      <c r="J67" s="338"/>
      <c r="K67" s="338"/>
      <c r="L67" s="336"/>
    </row>
    <row r="68" spans="1:12" ht="12.75">
      <c r="A68" s="337"/>
      <c r="B68" s="338"/>
      <c r="C68" s="338"/>
      <c r="D68" s="338"/>
      <c r="E68" s="338"/>
      <c r="F68" s="338"/>
      <c r="G68" s="338"/>
      <c r="H68" s="338"/>
      <c r="I68" s="338"/>
      <c r="J68" s="338"/>
      <c r="K68" s="338"/>
      <c r="L68" s="336"/>
    </row>
    <row r="69" spans="1:12" ht="12.75">
      <c r="A69" s="315" t="s">
        <v>339</v>
      </c>
      <c r="C69" s="336"/>
      <c r="I69" s="336"/>
      <c r="J69" s="336"/>
      <c r="K69" s="336"/>
      <c r="L69" s="336"/>
    </row>
    <row r="70" spans="1:12" ht="12.75">
      <c r="A70" s="321" t="s">
        <v>146</v>
      </c>
      <c r="B70" s="340">
        <v>0.05</v>
      </c>
      <c r="C70" s="341"/>
      <c r="D70" s="336" t="s">
        <v>340</v>
      </c>
      <c r="E70" s="336"/>
      <c r="F70" s="336"/>
      <c r="G70" s="336"/>
      <c r="H70" s="336"/>
      <c r="I70" s="336"/>
      <c r="J70" s="336"/>
      <c r="K70" s="336"/>
      <c r="L70" s="336"/>
    </row>
    <row r="71" spans="1:25" ht="13.5" thickBot="1">
      <c r="A71" s="342" t="s">
        <v>341</v>
      </c>
      <c r="B71" s="343">
        <v>1</v>
      </c>
      <c r="C71" s="344">
        <v>2</v>
      </c>
      <c r="D71" s="345">
        <v>3</v>
      </c>
      <c r="E71" s="346">
        <v>4</v>
      </c>
      <c r="F71" s="345">
        <v>5</v>
      </c>
      <c r="G71" s="346">
        <v>6</v>
      </c>
      <c r="H71" s="345">
        <v>7</v>
      </c>
      <c r="I71" s="346">
        <v>8</v>
      </c>
      <c r="J71" s="345">
        <v>9</v>
      </c>
      <c r="K71" s="346">
        <v>10</v>
      </c>
      <c r="L71" s="345">
        <v>11</v>
      </c>
      <c r="M71" s="346">
        <v>12</v>
      </c>
      <c r="N71" s="345">
        <v>14</v>
      </c>
      <c r="O71" s="346">
        <v>16</v>
      </c>
      <c r="P71" s="345">
        <v>20</v>
      </c>
      <c r="Q71" s="346">
        <v>24</v>
      </c>
      <c r="R71" s="345">
        <v>30</v>
      </c>
      <c r="S71" s="346">
        <v>40</v>
      </c>
      <c r="T71" s="345">
        <v>50</v>
      </c>
      <c r="U71" s="346">
        <v>75</v>
      </c>
      <c r="V71" s="347">
        <v>100</v>
      </c>
      <c r="W71" s="348">
        <v>200</v>
      </c>
      <c r="X71" s="347">
        <v>500</v>
      </c>
      <c r="Y71" s="347">
        <v>99999</v>
      </c>
    </row>
    <row r="72" spans="1:25" ht="13.5" thickTop="1">
      <c r="A72" s="349">
        <v>1</v>
      </c>
      <c r="B72" s="326">
        <f>FINV(B70,B71,A72)</f>
        <v>161.44763874199344</v>
      </c>
      <c r="C72" s="325">
        <f>FINV(B70,C71,A72)</f>
        <v>199.499999964785</v>
      </c>
      <c r="D72" s="326">
        <f>FINV(B70,D71,A72)</f>
        <v>215.7073453325313</v>
      </c>
      <c r="E72" s="325">
        <f>FINV(B70,E71,A72)</f>
        <v>224.58324058879344</v>
      </c>
      <c r="F72" s="326">
        <f>FINV(B70,F71,A72)</f>
        <v>230.16187807281722</v>
      </c>
      <c r="G72" s="325">
        <f>FINV(B70,G71,A72)</f>
        <v>233.98600031935916</v>
      </c>
      <c r="H72" s="326">
        <f>FINV(B70,H71,A72)</f>
        <v>236.76840024054434</v>
      </c>
      <c r="I72" s="325">
        <f>FINV(B70,I71,A72)</f>
        <v>238.88269476653278</v>
      </c>
      <c r="J72" s="326">
        <f>FINV(B70,J71,A72)</f>
        <v>240.54325467770445</v>
      </c>
      <c r="K72" s="325">
        <f>FINV(B70,K71,A72)</f>
        <v>241.8817472156665</v>
      </c>
      <c r="L72" s="326">
        <f>FINV(B70,L71,A72)</f>
        <v>242.9834581618831</v>
      </c>
      <c r="M72" s="325">
        <f>FINV(B70,M71,A72)</f>
        <v>243.90603845456263</v>
      </c>
      <c r="N72" s="326">
        <f>FINV(B70,N71,A72)</f>
        <v>245.36397718421784</v>
      </c>
      <c r="O72" s="325">
        <f>FINV(B70,O71,A72)</f>
        <v>246.46392224162872</v>
      </c>
      <c r="P72" s="326">
        <f>FINV(B70,P71,A72)</f>
        <v>248.01308205163963</v>
      </c>
      <c r="Q72" s="325">
        <f>FINV(B70,Q71,A72)</f>
        <v>249.05177479855797</v>
      </c>
      <c r="R72" s="326">
        <f>FINV(B70,R71,A72)</f>
        <v>250.0951481545316</v>
      </c>
      <c r="S72" s="325">
        <f>FINV(B70,S71,A72)</f>
        <v>251.1431531005083</v>
      </c>
      <c r="T72" s="326">
        <f>FINV(B70,T71,A72)</f>
        <v>251.77415825418024</v>
      </c>
      <c r="U72" s="325">
        <f>FINV(B70,U71,A72)</f>
        <v>252.61804452104207</v>
      </c>
      <c r="V72" s="326">
        <f>FINV(B70,V71,A72)</f>
        <v>253.0410712392657</v>
      </c>
      <c r="W72" s="325">
        <f>FINV(B70,W71,A72)</f>
        <v>253.67695617208932</v>
      </c>
      <c r="X72" s="326">
        <f>FINV(B70,X71,A72)</f>
        <v>254.0592575252802</v>
      </c>
      <c r="Y72" s="326">
        <f>FINV(B70,Y71,A72)</f>
        <v>254.3131678674893</v>
      </c>
    </row>
    <row r="73" spans="1:25" ht="12.75">
      <c r="A73" s="349">
        <v>2</v>
      </c>
      <c r="B73" s="326">
        <f>FINV(B70,B71,A73)</f>
        <v>18.512820511057093</v>
      </c>
      <c r="C73" s="325">
        <f>FINV(B70,C71,A73)</f>
        <v>18.999999999953275</v>
      </c>
      <c r="D73" s="326">
        <f>FINV(B70,D71,A73)</f>
        <v>19.164292127565375</v>
      </c>
      <c r="E73" s="325">
        <f>FINV(B70,E71,A73)</f>
        <v>19.246794344956285</v>
      </c>
      <c r="F73" s="326">
        <f>FINV(B70,F71,A73)</f>
        <v>19.29640965225417</v>
      </c>
      <c r="G73" s="325">
        <f>FINV(B70,G71,A73)</f>
        <v>19.32953401547175</v>
      </c>
      <c r="H73" s="326">
        <f>FINV(B70,H71,A73)</f>
        <v>19.35321753648168</v>
      </c>
      <c r="I73" s="325">
        <f>FINV(B70,I71,A73)</f>
        <v>19.370992898516825</v>
      </c>
      <c r="J73" s="326">
        <f>FINV(B70,J71,A73)</f>
        <v>19.384825718674882</v>
      </c>
      <c r="K73" s="325">
        <f>FINV(B70,K71,A73)</f>
        <v>19.395896724120618</v>
      </c>
      <c r="L73" s="326">
        <f>FINV(B70,L71,A73)</f>
        <v>19.404957959538997</v>
      </c>
      <c r="M73" s="325">
        <f>FINV(B70,M71,A73)</f>
        <v>19.412511147844988</v>
      </c>
      <c r="N73" s="326">
        <f>FINV(B70,N71,A73)</f>
        <v>19.424384408886475</v>
      </c>
      <c r="O73" s="325">
        <f>FINV(B70,O71,A73)</f>
        <v>19.43329253503805</v>
      </c>
      <c r="P73" s="326">
        <f>FINV(B70,P71,A73)</f>
        <v>19.445768491389643</v>
      </c>
      <c r="Q73" s="325">
        <f>FINV(B70,Q71,A73)</f>
        <v>19.454088763976188</v>
      </c>
      <c r="R73" s="326">
        <f>FINV(B70,R71,A73)</f>
        <v>19.462411411244524</v>
      </c>
      <c r="S73" s="325">
        <f>FINV(B70,S71,A73)</f>
        <v>19.47073643319304</v>
      </c>
      <c r="T73" s="326">
        <f>FINV(B70,T71,A73)</f>
        <v>19.475732586206497</v>
      </c>
      <c r="U73" s="325">
        <f>FINV(B70,U71,A73)</f>
        <v>19.48239545337075</v>
      </c>
      <c r="V73" s="326">
        <f>FINV(B70,V71,A73)</f>
        <v>19.48572745687126</v>
      </c>
      <c r="W73" s="325">
        <f>FINV(B70,W71,A73)</f>
        <v>19.490726174521967</v>
      </c>
      <c r="X73" s="326">
        <f>FINV(B70,X71,A73)</f>
        <v>19.493725815455477</v>
      </c>
      <c r="Y73" s="326">
        <f>FINV(B70,Y71,A73)</f>
        <v>19.49571574700306</v>
      </c>
    </row>
    <row r="74" spans="1:25" ht="12.75">
      <c r="A74" s="349">
        <v>3</v>
      </c>
      <c r="B74" s="326">
        <f>FINV(B70,B71,A74)</f>
        <v>10.127964483488157</v>
      </c>
      <c r="C74" s="325">
        <f>FINV(B70,C71,A74)</f>
        <v>9.552094495939308</v>
      </c>
      <c r="D74" s="326">
        <f>FINV(B70,D71,A74)</f>
        <v>9.276628153915205</v>
      </c>
      <c r="E74" s="325">
        <f>FINV(B70,E71,A74)</f>
        <v>9.117182253359672</v>
      </c>
      <c r="F74" s="326">
        <f>FINV(B70,F71,A74)</f>
        <v>9.013455167592912</v>
      </c>
      <c r="G74" s="325">
        <f>FINV(B70,G71,A74)</f>
        <v>8.94064512095926</v>
      </c>
      <c r="H74" s="326">
        <f>FINV(B70,H71,A74)</f>
        <v>8.886742955853485</v>
      </c>
      <c r="I74" s="325">
        <f>FINV(B70,I71,A74)</f>
        <v>8.845238460204566</v>
      </c>
      <c r="J74" s="326">
        <f>FINV(B70,J71,A74)</f>
        <v>8.812299555473746</v>
      </c>
      <c r="K74" s="325">
        <f>FINV(B70,K71,A74)</f>
        <v>8.785524710810204</v>
      </c>
      <c r="L74" s="326">
        <f>FINV(B70,L71,A74)</f>
        <v>8.763332829933109</v>
      </c>
      <c r="M74" s="325">
        <f>FINV(B70,M71,A74)</f>
        <v>8.744640661781386</v>
      </c>
      <c r="N74" s="326">
        <f>FINV(B70,N71,A74)</f>
        <v>8.714896379647964</v>
      </c>
      <c r="O74" s="325">
        <f>FINV(B70,O71,A74)</f>
        <v>8.692286268042462</v>
      </c>
      <c r="P74" s="326">
        <f>FINV(B70,P71,A74)</f>
        <v>8.660189802308341</v>
      </c>
      <c r="Q74" s="325">
        <f>FINV(B70,Q71,A74)</f>
        <v>8.638501040655129</v>
      </c>
      <c r="R74" s="326">
        <f>FINV(B70,R71,A74)</f>
        <v>8.61657587060235</v>
      </c>
      <c r="S74" s="325">
        <f>FINV(B70,S71,A74)</f>
        <v>8.594411250413117</v>
      </c>
      <c r="T74" s="326">
        <f>FINV(B70,T71,A74)</f>
        <v>8.580996267377742</v>
      </c>
      <c r="U74" s="325">
        <f>FINV(B70,U71,A74)</f>
        <v>8.562972661662833</v>
      </c>
      <c r="V74" s="326">
        <f>FINV(B70,V71,A74)</f>
        <v>8.553901714252163</v>
      </c>
      <c r="W74" s="325">
        <f>FINV(B70,W71,A74)</f>
        <v>8.540220801572076</v>
      </c>
      <c r="X74" s="326">
        <f>FINV(B70,X71,A74)</f>
        <v>8.531969101775061</v>
      </c>
      <c r="Y74" s="326">
        <f>FINV(B70,Y71,A74)</f>
        <v>8.52647753020521</v>
      </c>
    </row>
    <row r="75" spans="1:25" ht="12.75">
      <c r="A75" s="349">
        <v>4</v>
      </c>
      <c r="B75" s="326">
        <f>FINV(B70,B71,A75)</f>
        <v>7.708647421321691</v>
      </c>
      <c r="C75" s="325">
        <f>FINV(B70,C71,A75)</f>
        <v>6.944271910032095</v>
      </c>
      <c r="D75" s="326">
        <f>FINV(B70,D71,A75)</f>
        <v>6.591382116509115</v>
      </c>
      <c r="E75" s="325">
        <f>FINV(B70,E71,A75)</f>
        <v>6.388232908795308</v>
      </c>
      <c r="F75" s="326">
        <f>FINV(B70,F71,A75)</f>
        <v>6.25605650228656</v>
      </c>
      <c r="G75" s="325">
        <f>FINV(B70,G71,A75)</f>
        <v>6.163132282837818</v>
      </c>
      <c r="H75" s="326">
        <f>FINV(B70,H71,A75)</f>
        <v>6.094210925867749</v>
      </c>
      <c r="I75" s="325">
        <f>FINV(B70,I71,A75)</f>
        <v>6.041044476304364</v>
      </c>
      <c r="J75" s="326">
        <f>FINV(B70,J71,A75)</f>
        <v>5.998779031409134</v>
      </c>
      <c r="K75" s="325">
        <f>FINV(B70,K71,A75)</f>
        <v>5.964370552448388</v>
      </c>
      <c r="L75" s="326">
        <f>FINV(B70,L71,A75)</f>
        <v>5.935812698823296</v>
      </c>
      <c r="M75" s="325">
        <f>FINV(B70,M71,A75)</f>
        <v>5.91172910933903</v>
      </c>
      <c r="N75" s="326">
        <f>FINV(B70,N71,A75)</f>
        <v>5.873346264396206</v>
      </c>
      <c r="O75" s="325">
        <f>FINV(B70,O71,A75)</f>
        <v>5.844117426882441</v>
      </c>
      <c r="P75" s="326">
        <f>FINV(B70,P71,A75)</f>
        <v>5.802541893517342</v>
      </c>
      <c r="Q75" s="325">
        <f>FINV(B70,Q71,A75)</f>
        <v>5.774388656980767</v>
      </c>
      <c r="R75" s="326">
        <f>FINV(B70,R71,A75)</f>
        <v>5.745876982823743</v>
      </c>
      <c r="S75" s="325">
        <f>FINV(B70,S71,A75)</f>
        <v>5.7169984057802665</v>
      </c>
      <c r="T75" s="326">
        <f>FINV(B70,T71,A75)</f>
        <v>5.699491501197288</v>
      </c>
      <c r="U75" s="325">
        <f>FINV(B70,U71,A75)</f>
        <v>5.675935186707914</v>
      </c>
      <c r="V75" s="326">
        <f>FINV(B70,V71,A75)</f>
        <v>5.6640640712570445</v>
      </c>
      <c r="W75" s="325">
        <f>FINV(B70,W71,A75)</f>
        <v>5.646139484530611</v>
      </c>
      <c r="X75" s="326">
        <f>FINV(B70,X71,A75)</f>
        <v>5.635316051268674</v>
      </c>
      <c r="Y75" s="326">
        <f>FINV(B70,Y71,A75)</f>
        <v>5.628107807174864</v>
      </c>
    </row>
    <row r="76" spans="1:25" ht="12.75">
      <c r="A76" s="349">
        <v>5</v>
      </c>
      <c r="B76" s="326">
        <f>FINV(B70,B71,A76)</f>
        <v>6.607890968876971</v>
      </c>
      <c r="C76" s="325">
        <f>FINV(B70,C71,A76)</f>
        <v>5.786135043389306</v>
      </c>
      <c r="D76" s="326">
        <f>FINV(B70,D71,A76)</f>
        <v>5.409451318273106</v>
      </c>
      <c r="E76" s="325">
        <f>FINV(B70,E71,A76)</f>
        <v>5.192167772896484</v>
      </c>
      <c r="F76" s="326">
        <f>FINV(B70,F71,A76)</f>
        <v>5.050329057739198</v>
      </c>
      <c r="G76" s="325">
        <f>FINV(B70,G71,A76)</f>
        <v>4.950288068824916</v>
      </c>
      <c r="H76" s="326">
        <f>FINV(B70,H71,A76)</f>
        <v>4.875871695981248</v>
      </c>
      <c r="I76" s="325">
        <f>FINV(B70,I71,A76)</f>
        <v>4.818319535814398</v>
      </c>
      <c r="J76" s="326">
        <f>FINV(B70,J71,A76)</f>
        <v>4.7724656132646786</v>
      </c>
      <c r="K76" s="325">
        <f>FINV(B70,K71,A76)</f>
        <v>4.735063069861212</v>
      </c>
      <c r="L76" s="326">
        <f>FINV(B70,L71,A76)</f>
        <v>4.703967233475948</v>
      </c>
      <c r="M76" s="325">
        <f>FINV(B70,M71,A76)</f>
        <v>4.677703791949728</v>
      </c>
      <c r="N76" s="326">
        <f>FINV(B70,N71,A76)</f>
        <v>4.6357677215068005</v>
      </c>
      <c r="O76" s="325">
        <f>FINV(B70,O71,A76)</f>
        <v>4.603764029366896</v>
      </c>
      <c r="P76" s="326">
        <f>FINV(B70,P71,A76)</f>
        <v>4.558131497574159</v>
      </c>
      <c r="Q76" s="325">
        <f>FINV(B70,Q71,A76)</f>
        <v>4.527153107909047</v>
      </c>
      <c r="R76" s="326">
        <f>FINV(B70,R71,A76)</f>
        <v>4.4957122618956955</v>
      </c>
      <c r="S76" s="325">
        <f>FINV(B70,S71,A76)</f>
        <v>4.463793324556688</v>
      </c>
      <c r="T76" s="326">
        <f>FINV(B70,T71,A76)</f>
        <v>4.4444056185368925</v>
      </c>
      <c r="U76" s="325">
        <f>FINV(B70,U71,A76)</f>
        <v>4.4182718324601815</v>
      </c>
      <c r="V76" s="326">
        <f>FINV(B70,V71,A76)</f>
        <v>4.405080824603097</v>
      </c>
      <c r="W76" s="325">
        <f>FINV(B70,W71,A76)</f>
        <v>4.385135781614057</v>
      </c>
      <c r="X76" s="326">
        <f>FINV(B70,X71,A76)</f>
        <v>4.373075915998543</v>
      </c>
      <c r="Y76" s="326">
        <f>FINV(B70,Y71,A76)</f>
        <v>4.365037221545531</v>
      </c>
    </row>
    <row r="77" spans="1:25" ht="12.75">
      <c r="A77" s="349">
        <v>6</v>
      </c>
      <c r="B77" s="326">
        <f>FINV(B70,B71,A77)</f>
        <v>5.987377584212597</v>
      </c>
      <c r="C77" s="325">
        <f>FINV(B70,C71,A77)</f>
        <v>5.143252849827833</v>
      </c>
      <c r="D77" s="326">
        <f>FINV(B70,D71,A77)</f>
        <v>4.757062663860864</v>
      </c>
      <c r="E77" s="325">
        <f>FINV(B70,E71,A77)</f>
        <v>4.533676950363816</v>
      </c>
      <c r="F77" s="326">
        <f>FINV(B70,F71,A77)</f>
        <v>4.387374187476627</v>
      </c>
      <c r="G77" s="325">
        <f>FINV(B70,G71,A77)</f>
        <v>4.2838657139425145</v>
      </c>
      <c r="H77" s="326">
        <f>FINV(B70,H71,A77)</f>
        <v>4.206658488012218</v>
      </c>
      <c r="I77" s="325">
        <f>FINV(B70,I71,A77)</f>
        <v>4.146804162418137</v>
      </c>
      <c r="J77" s="326">
        <f>FINV(B70,J71,A77)</f>
        <v>4.099015541843174</v>
      </c>
      <c r="K77" s="325">
        <f>FINV(B70,K71,A77)</f>
        <v>4.059962794436528</v>
      </c>
      <c r="L77" s="326">
        <f>FINV(B70,L71,A77)</f>
        <v>4.02744204209678</v>
      </c>
      <c r="M77" s="325">
        <f>FINV(B70,M71,A77)</f>
        <v>3.999935383380441</v>
      </c>
      <c r="N77" s="326">
        <f>FINV(B70,N71,A77)</f>
        <v>3.955933942950554</v>
      </c>
      <c r="O77" s="325">
        <f>FINV(B70,O71,A77)</f>
        <v>3.922283362523152</v>
      </c>
      <c r="P77" s="326">
        <f>FINV(B70,P71,A77)</f>
        <v>3.8741885809747307</v>
      </c>
      <c r="Q77" s="325">
        <f>FINV(B70,Q71,A77)</f>
        <v>3.84145690171684</v>
      </c>
      <c r="R77" s="326">
        <f>FINV(B70,R71,A77)</f>
        <v>3.8081642651671768</v>
      </c>
      <c r="S77" s="325">
        <f>FINV(B70,S71,A77)</f>
        <v>3.774286284692261</v>
      </c>
      <c r="T77" s="326">
        <f>FINV(B70,T71,A77)</f>
        <v>3.7536676589151012</v>
      </c>
      <c r="U77" s="325">
        <f>FINV(B70,U71,A77)</f>
        <v>3.7258231564788646</v>
      </c>
      <c r="V77" s="326">
        <f>FINV(B70,V71,A77)</f>
        <v>3.711745358026696</v>
      </c>
      <c r="W77" s="325">
        <f>FINV(B70,W71,A77)</f>
        <v>3.690428627467573</v>
      </c>
      <c r="X77" s="326">
        <f>FINV(B70,X71,A77)</f>
        <v>3.677520819569409</v>
      </c>
      <c r="Y77" s="326">
        <f>FINV(B70,Y71,A77)</f>
        <v>3.668908950125476</v>
      </c>
    </row>
    <row r="78" spans="1:25" ht="12.75">
      <c r="A78" s="349">
        <v>7</v>
      </c>
      <c r="B78" s="326">
        <f>FINV(B70,B71,A78)</f>
        <v>5.591447848177628</v>
      </c>
      <c r="C78" s="325">
        <f>FINV(B70,C71,A78)</f>
        <v>4.73741412782155</v>
      </c>
      <c r="D78" s="326">
        <f>FINV(B70,D71,A78)</f>
        <v>4.346831402167407</v>
      </c>
      <c r="E78" s="325">
        <f>FINV(B70,E71,A78)</f>
        <v>4.120311726983584</v>
      </c>
      <c r="F78" s="326">
        <f>FINV(B70,F71,A78)</f>
        <v>3.9715231505921897</v>
      </c>
      <c r="G78" s="325">
        <f>FINV(B70,G71,A78)</f>
        <v>3.865968853236674</v>
      </c>
      <c r="H78" s="326">
        <f>FINV(B70,H71,A78)</f>
        <v>3.787043540091169</v>
      </c>
      <c r="I78" s="325">
        <f>FINV(B70,I71,A78)</f>
        <v>3.725725317253853</v>
      </c>
      <c r="J78" s="326">
        <f>FINV(B70,J71,A78)</f>
        <v>3.6766746989925565</v>
      </c>
      <c r="K78" s="325">
        <f>FINV(B70,K71,A78)</f>
        <v>3.6365231205837993</v>
      </c>
      <c r="L78" s="326">
        <f>FINV(B70,L71,A78)</f>
        <v>3.603037269054231</v>
      </c>
      <c r="M78" s="325">
        <f>FINV(B70,M71,A78)</f>
        <v>3.574676446385026</v>
      </c>
      <c r="N78" s="326">
        <f>FINV(B70,N71,A78)</f>
        <v>3.529231399951339</v>
      </c>
      <c r="O78" s="325">
        <f>FINV(B70,O71,A78)</f>
        <v>3.4944080867349525</v>
      </c>
      <c r="P78" s="326">
        <f>FINV(B70,P71,A78)</f>
        <v>3.4445248322461914</v>
      </c>
      <c r="Q78" s="325">
        <f>FINV(B70,Q71,A78)</f>
        <v>3.4104943762395123</v>
      </c>
      <c r="R78" s="326">
        <f>FINV(B70,R71,A78)</f>
        <v>3.3758075020784037</v>
      </c>
      <c r="S78" s="325">
        <f>FINV(B70,S71,A78)</f>
        <v>3.3404296520126655</v>
      </c>
      <c r="T78" s="326">
        <f>FINV(B70,T71,A78)</f>
        <v>3.3188556417597006</v>
      </c>
      <c r="U78" s="325">
        <f>FINV(B70,U71,A78)</f>
        <v>3.289666840120905</v>
      </c>
      <c r="V78" s="326">
        <f>FINV(B70,V71,A78)</f>
        <v>3.274884663667403</v>
      </c>
      <c r="W78" s="325">
        <f>FINV(B70,W71,A78)</f>
        <v>3.2524683124290386</v>
      </c>
      <c r="X78" s="326">
        <f>FINV(B70,X71,A78)</f>
        <v>3.2388746310617202</v>
      </c>
      <c r="Y78" s="326">
        <f>FINV(B70,Y71,A78)</f>
        <v>3.2297964959111116</v>
      </c>
    </row>
    <row r="79" spans="1:25" ht="12.75">
      <c r="A79" s="349">
        <v>8</v>
      </c>
      <c r="B79" s="326">
        <f>FINV(B70,B71,A79)</f>
        <v>5.317655062792612</v>
      </c>
      <c r="C79" s="325">
        <f>FINV(B70,C71,A79)</f>
        <v>4.458970107572002</v>
      </c>
      <c r="D79" s="326">
        <f>FINV(B70,D71,A79)</f>
        <v>4.0661805566468345</v>
      </c>
      <c r="E79" s="325">
        <f>FINV(B70,E71,A79)</f>
        <v>3.8378533546399156</v>
      </c>
      <c r="F79" s="326">
        <f>FINV(B70,F71,A79)</f>
        <v>3.6874986661289313</v>
      </c>
      <c r="G79" s="325">
        <f>FINV(B70,G71,A79)</f>
        <v>3.580580319869192</v>
      </c>
      <c r="H79" s="326">
        <f>FINV(B70,H71,A79)</f>
        <v>3.5004638552690563</v>
      </c>
      <c r="I79" s="325">
        <f>FINV(B70,I71,A79)</f>
        <v>3.4381012334967886</v>
      </c>
      <c r="J79" s="326">
        <f>FINV(B70,J71,A79)</f>
        <v>3.3881302346365114</v>
      </c>
      <c r="K79" s="325">
        <f>FINV(B70,K71,A79)</f>
        <v>3.3471631203684353</v>
      </c>
      <c r="L79" s="326">
        <f>FINV(B70,L71,A79)</f>
        <v>3.3129506570262333</v>
      </c>
      <c r="M79" s="325">
        <f>FINV(B70,M71,A79)</f>
        <v>3.283939005869146</v>
      </c>
      <c r="N79" s="326">
        <f>FINV(B70,N71,A79)</f>
        <v>3.237378146416428</v>
      </c>
      <c r="O79" s="325">
        <f>FINV(B70,O71,A79)</f>
        <v>3.2016342731465466</v>
      </c>
      <c r="P79" s="326">
        <f>FINV(B70,P71,A79)</f>
        <v>3.1503237736639385</v>
      </c>
      <c r="Q79" s="325">
        <f>FINV(B70,Q71,A79)</f>
        <v>3.1152397961916805</v>
      </c>
      <c r="R79" s="326">
        <f>FINV(B70,R71,A79)</f>
        <v>3.079406472139409</v>
      </c>
      <c r="S79" s="325">
        <f>FINV(B70,S71,A79)</f>
        <v>3.042777821303466</v>
      </c>
      <c r="T79" s="326">
        <f>FINV(B70,T71,A79)</f>
        <v>3.0203977951400303</v>
      </c>
      <c r="U79" s="325">
        <f>FINV(B70,U71,A79)</f>
        <v>2.990062809793077</v>
      </c>
      <c r="V79" s="326">
        <f>FINV(B70,V71,A79)</f>
        <v>2.9746744872297404</v>
      </c>
      <c r="W79" s="325">
        <f>FINV(B70,W71,A79)</f>
        <v>2.9513042643728573</v>
      </c>
      <c r="X79" s="326">
        <f>FINV(B70,X71,A79)</f>
        <v>2.937110948925759</v>
      </c>
      <c r="Y79" s="326">
        <f>FINV(B70,Y71,A79)</f>
        <v>2.9276231341661525</v>
      </c>
    </row>
    <row r="80" spans="1:25" ht="12.75">
      <c r="A80" s="349">
        <v>9</v>
      </c>
      <c r="B80" s="326">
        <f>FINV(B70,B71,A80)</f>
        <v>5.117355008275981</v>
      </c>
      <c r="C80" s="325">
        <f>FINV(B70,C71,A80)</f>
        <v>4.256494729142561</v>
      </c>
      <c r="D80" s="326">
        <f>FINV(B70,D71,A80)</f>
        <v>3.862548357854923</v>
      </c>
      <c r="E80" s="325">
        <f>FINV(B70,E71,A80)</f>
        <v>3.633088511501559</v>
      </c>
      <c r="F80" s="326">
        <f>FINV(B70,F71,A80)</f>
        <v>3.481658653342178</v>
      </c>
      <c r="G80" s="325">
        <f>FINV(B70,G71,A80)</f>
        <v>3.3737536471430145</v>
      </c>
      <c r="H80" s="326">
        <f>FINV(B70,H71,A80)</f>
        <v>3.2927458392650006</v>
      </c>
      <c r="I80" s="325">
        <f>FINV(B70,I71,A80)</f>
        <v>3.2295826128046494</v>
      </c>
      <c r="J80" s="326">
        <f>FINV(B70,J71,A80)</f>
        <v>3.1788931045809843</v>
      </c>
      <c r="K80" s="325">
        <f>FINV(B70,K71,A80)</f>
        <v>3.1372801080160295</v>
      </c>
      <c r="L80" s="326">
        <f>FINV(B70,L71,A80)</f>
        <v>3.102485407660227</v>
      </c>
      <c r="M80" s="325">
        <f>FINV(B70,M71,A80)</f>
        <v>3.0729471220143</v>
      </c>
      <c r="N80" s="326">
        <f>FINV(B70,N71,A80)</f>
        <v>3.0254727244264403</v>
      </c>
      <c r="O80" s="325">
        <f>FINV(B70,O71,A80)</f>
        <v>2.988965557459892</v>
      </c>
      <c r="P80" s="326">
        <f>FINV(B70,P71,A80)</f>
        <v>2.9364553923229773</v>
      </c>
      <c r="Q80" s="325">
        <f>FINV(B70,Q71,A80)</f>
        <v>2.900473760219791</v>
      </c>
      <c r="R80" s="326">
        <f>FINV(B70,R71,A80)</f>
        <v>2.8636523439464563</v>
      </c>
      <c r="S80" s="325">
        <f>FINV(B70,S71,A80)</f>
        <v>2.825932653850068</v>
      </c>
      <c r="T80" s="326">
        <f>FINV(B70,T71,A80)</f>
        <v>2.8028425173704488</v>
      </c>
      <c r="U80" s="325">
        <f>FINV(B70,U71,A80)</f>
        <v>2.7714883726217225</v>
      </c>
      <c r="V80" s="326">
        <f>FINV(B70,V71,A80)</f>
        <v>2.755556681428474</v>
      </c>
      <c r="W80" s="325">
        <f>FINV(B70,W71,A80)</f>
        <v>2.7313252656174036</v>
      </c>
      <c r="X80" s="326">
        <f>FINV(B70,X71,A80)</f>
        <v>2.7165867686228946</v>
      </c>
      <c r="Y80" s="326">
        <f>FINV(B70,Y71,A80)</f>
        <v>2.706724792162057</v>
      </c>
    </row>
    <row r="81" spans="1:25" ht="12.75">
      <c r="A81" s="349">
        <v>10</v>
      </c>
      <c r="B81" s="326">
        <f>FINV(B70,B71,A81)</f>
        <v>4.964602701126887</v>
      </c>
      <c r="C81" s="325">
        <f>FINV(B70,C71,A81)</f>
        <v>4.102821015180178</v>
      </c>
      <c r="D81" s="326">
        <f>FINV(B70,D71,A81)</f>
        <v>3.708264819458714</v>
      </c>
      <c r="E81" s="325">
        <f>FINV(B70,E71,A81)</f>
        <v>3.4780496908463983</v>
      </c>
      <c r="F81" s="326">
        <f>FINV(B70,F71,A81)</f>
        <v>3.325834529297534</v>
      </c>
      <c r="G81" s="325">
        <f>FINV(B70,G71,A81)</f>
        <v>3.217174547499612</v>
      </c>
      <c r="H81" s="326">
        <f>FINV(B70,H71,A81)</f>
        <v>3.1354648051839966</v>
      </c>
      <c r="I81" s="325">
        <f>FINV(B70,I71,A81)</f>
        <v>3.071658385392296</v>
      </c>
      <c r="J81" s="326">
        <f>FINV(B70,J71,A81)</f>
        <v>3.0203829471383994</v>
      </c>
      <c r="K81" s="325">
        <f>FINV(B70,K71,A81)</f>
        <v>2.978237016203976</v>
      </c>
      <c r="L81" s="326">
        <f>FINV(B70,L71,A81)</f>
        <v>2.9429572681336866</v>
      </c>
      <c r="M81" s="325">
        <f>FINV(B70,M71,A81)</f>
        <v>2.9129767217159896</v>
      </c>
      <c r="N81" s="326">
        <f>FINV(B70,N71,A81)</f>
        <v>2.8647276835108</v>
      </c>
      <c r="O81" s="325">
        <f>FINV(B70,O71,A81)</f>
        <v>2.8275664309664323</v>
      </c>
      <c r="P81" s="326">
        <f>FINV(B70,P71,A81)</f>
        <v>2.7740163984996906</v>
      </c>
      <c r="Q81" s="325">
        <f>FINV(B70,Q71,A81)</f>
        <v>2.7372476530966185</v>
      </c>
      <c r="R81" s="326">
        <f>FINV(B70,R71,A81)</f>
        <v>2.6995512332331177</v>
      </c>
      <c r="S81" s="325">
        <f>FINV(B70,S71,A81)</f>
        <v>2.6608552074223164</v>
      </c>
      <c r="T81" s="326">
        <f>FINV(B70,T71,A81)</f>
        <v>2.6371239952968564</v>
      </c>
      <c r="U81" s="325">
        <f>FINV(B70,U71,A81)</f>
        <v>2.6048421349293864</v>
      </c>
      <c r="V81" s="326">
        <f>FINV(B70,V71,A81)</f>
        <v>2.5884121799441715</v>
      </c>
      <c r="W81" s="325">
        <f>FINV(B70,W71,A81)</f>
        <v>2.5633858902187976</v>
      </c>
      <c r="X81" s="326">
        <f>FINV(B70,X71,A81)</f>
        <v>2.548140928258415</v>
      </c>
      <c r="Y81" s="326">
        <f>FINV(B70,Y71,A81)</f>
        <v>2.537929897854096</v>
      </c>
    </row>
    <row r="82" spans="1:25" ht="12.75">
      <c r="A82" s="349">
        <v>11</v>
      </c>
      <c r="B82" s="326">
        <f>FINV(B70,B71,A82)</f>
        <v>4.844335668913812</v>
      </c>
      <c r="C82" s="325">
        <f>FINV(B70,C71,A82)</f>
        <v>3.9822979571449677</v>
      </c>
      <c r="D82" s="326">
        <f>FINV(B70,D71,A82)</f>
        <v>3.5874337031307766</v>
      </c>
      <c r="E82" s="325">
        <f>FINV(B70,E71,A82)</f>
        <v>3.3566900212126134</v>
      </c>
      <c r="F82" s="326">
        <f>FINV(B70,F71,A82)</f>
        <v>3.2038742608065647</v>
      </c>
      <c r="G82" s="325">
        <f>FINV(B70,G71,A82)</f>
        <v>3.0946128880070933</v>
      </c>
      <c r="H82" s="326">
        <f>FINV(B70,H71,A82)</f>
        <v>3.012330343150528</v>
      </c>
      <c r="I82" s="325">
        <f>FINV(B70,I71,A82)</f>
        <v>2.9479903187480767</v>
      </c>
      <c r="J82" s="326">
        <f>FINV(B70,J71,A82)</f>
        <v>2.896222761399499</v>
      </c>
      <c r="K82" s="325">
        <f>FINV(B70,K71,A82)</f>
        <v>2.85362485839023</v>
      </c>
      <c r="L82" s="326">
        <f>FINV(B70,L71,A82)</f>
        <v>2.8179304700780845</v>
      </c>
      <c r="M82" s="325">
        <f>FINV(B70,M71,A82)</f>
        <v>2.787569325815591</v>
      </c>
      <c r="N82" s="326">
        <f>FINV(B70,N71,A82)</f>
        <v>2.738648214631822</v>
      </c>
      <c r="O82" s="325">
        <f>FINV(B70,O71,A82)</f>
        <v>2.7009144106720795</v>
      </c>
      <c r="P82" s="326">
        <f>FINV(B70,P71,A82)</f>
        <v>2.646445153953067</v>
      </c>
      <c r="Q82" s="325">
        <f>FINV(B70,Q71,A82)</f>
        <v>2.6089736191374415</v>
      </c>
      <c r="R82" s="326">
        <f>FINV(B70,R71,A82)</f>
        <v>2.570489121475622</v>
      </c>
      <c r="S82" s="325">
        <f>FINV(B70,S71,A82)</f>
        <v>2.5309054972985274</v>
      </c>
      <c r="T82" s="326">
        <f>FINV(B70,T71,A82)</f>
        <v>2.5065868193973735</v>
      </c>
      <c r="U82" s="325">
        <f>FINV(B70,U71,A82)</f>
        <v>2.4734483599535215</v>
      </c>
      <c r="V82" s="326">
        <f>FINV(B70,V71,A82)</f>
        <v>2.456555198515514</v>
      </c>
      <c r="W82" s="325">
        <f>FINV(B70,W71,A82)</f>
        <v>2.430785433971719</v>
      </c>
      <c r="X82" s="326">
        <f>FINV(B70,X71,A82)</f>
        <v>2.415063854627995</v>
      </c>
      <c r="Y82" s="326">
        <f>FINV(B70,Y71,A82)</f>
        <v>2.404523024866168</v>
      </c>
    </row>
    <row r="83" spans="1:25" ht="12.75">
      <c r="A83" s="349">
        <v>12</v>
      </c>
      <c r="B83" s="326">
        <f>FINV(B70,B71,A83)</f>
        <v>4.747225335819044</v>
      </c>
      <c r="C83" s="325">
        <f>FINV(B70,C71,A83)</f>
        <v>3.8852938347033836</v>
      </c>
      <c r="D83" s="326">
        <f>FINV(B70,D71,A83)</f>
        <v>3.490294820654653</v>
      </c>
      <c r="E83" s="325">
        <f>FINV(B70,E71,A83)</f>
        <v>3.2591667269802373</v>
      </c>
      <c r="F83" s="326">
        <f>FINV(B70,F71,A83)</f>
        <v>3.1058752391376663</v>
      </c>
      <c r="G83" s="325">
        <f>FINV(B70,G71,A83)</f>
        <v>2.9961203776127796</v>
      </c>
      <c r="H83" s="326">
        <f>FINV(B70,H71,A83)</f>
        <v>2.913358179118511</v>
      </c>
      <c r="I83" s="325">
        <f>FINV(B70,I71,A83)</f>
        <v>2.848565142173894</v>
      </c>
      <c r="J83" s="326">
        <f>FINV(B70,J71,A83)</f>
        <v>2.7963754896058033</v>
      </c>
      <c r="K83" s="325">
        <f>FINV(B70,K71,A83)</f>
        <v>2.753386768948884</v>
      </c>
      <c r="L83" s="326">
        <f>FINV(B70,L71,A83)</f>
        <v>2.71733144109857</v>
      </c>
      <c r="M83" s="325">
        <f>FINV(B70,M71,A83)</f>
        <v>2.6866371126386728</v>
      </c>
      <c r="N83" s="326">
        <f>FINV(B70,N71,A83)</f>
        <v>2.6371235578160466</v>
      </c>
      <c r="O83" s="325">
        <f>FINV(B70,O71,A83)</f>
        <v>2.5988811586459954</v>
      </c>
      <c r="P83" s="326">
        <f>FINV(B70,P71,A83)</f>
        <v>2.543588329961895</v>
      </c>
      <c r="Q83" s="325">
        <f>FINV(B70,Q71,A83)</f>
        <v>2.5054815471043</v>
      </c>
      <c r="R83" s="326">
        <f>FINV(B70,R71,A83)</f>
        <v>2.4662791427648614</v>
      </c>
      <c r="S83" s="325">
        <f>FINV(B70,S71,A83)</f>
        <v>2.425880059238774</v>
      </c>
      <c r="T83" s="326">
        <f>FINV(B70,T71,A83)</f>
        <v>2.4010176988451137</v>
      </c>
      <c r="U83" s="325">
        <f>FINV(B70,U71,A83)</f>
        <v>2.3670808679449813</v>
      </c>
      <c r="V83" s="326">
        <f>FINV(B70,V71,A83)</f>
        <v>2.349753219219039</v>
      </c>
      <c r="W83" s="325">
        <f>FINV(B70,W71,A83)</f>
        <v>2.3232820136149774</v>
      </c>
      <c r="X83" s="326">
        <f>FINV(B70,X71,A83)</f>
        <v>2.3071081244777227</v>
      </c>
      <c r="Y83" s="326">
        <f>FINV(B70,Y71,A83)</f>
        <v>2.296253104517173</v>
      </c>
    </row>
    <row r="84" spans="1:25" ht="12.75">
      <c r="A84" s="349">
        <v>13</v>
      </c>
      <c r="B84" s="326">
        <f>FINV(B70,B71,A84)</f>
        <v>4.667192713618151</v>
      </c>
      <c r="C84" s="325">
        <f>FINV(B70,C71,A84)</f>
        <v>3.805565253029404</v>
      </c>
      <c r="D84" s="326">
        <f>FINV(B70,D71,A84)</f>
        <v>3.4105336464080187</v>
      </c>
      <c r="E84" s="325">
        <f>FINV(B70,E71,A84)</f>
        <v>3.1791170526182304</v>
      </c>
      <c r="F84" s="326">
        <f>FINV(B70,F71,A84)</f>
        <v>3.025438300127485</v>
      </c>
      <c r="G84" s="325">
        <f>FINV(B70,G71,A84)</f>
        <v>2.9152692387964283</v>
      </c>
      <c r="H84" s="326">
        <f>FINV(B70,H71,A84)</f>
        <v>2.8320975017439354</v>
      </c>
      <c r="I84" s="325">
        <f>FINV(B70,I71,A84)</f>
        <v>2.7669131820211694</v>
      </c>
      <c r="J84" s="326">
        <f>FINV(B70,J71,A84)</f>
        <v>2.714355789160786</v>
      </c>
      <c r="K84" s="325">
        <f>FINV(B70,K71,A84)</f>
        <v>2.671024228664769</v>
      </c>
      <c r="L84" s="326">
        <f>FINV(B70,L71,A84)</f>
        <v>2.6346504608376184</v>
      </c>
      <c r="M84" s="325">
        <f>FINV(B70,M71,A84)</f>
        <v>2.6036607477872638</v>
      </c>
      <c r="N84" s="326">
        <f>FINV(B70,N71,A84)</f>
        <v>2.553618792153869</v>
      </c>
      <c r="O84" s="325">
        <f>FINV(B70,O71,A84)</f>
        <v>2.514919725969788</v>
      </c>
      <c r="P84" s="326">
        <f>FINV(B70,P71,A84)</f>
        <v>2.4588817722571923</v>
      </c>
      <c r="Q84" s="325">
        <f>FINV(B70,Q71,A84)</f>
        <v>2.420195677156749</v>
      </c>
      <c r="R84" s="326">
        <f>FINV(B70,R71,A84)</f>
        <v>2.3803339304765894</v>
      </c>
      <c r="S84" s="325">
        <f>FINV(B70,S71,A84)</f>
        <v>2.3391800336625668</v>
      </c>
      <c r="T84" s="326">
        <f>FINV(B70,T71,A84)</f>
        <v>2.31381098653258</v>
      </c>
      <c r="U84" s="325">
        <f>FINV(B70,U71,A84)</f>
        <v>2.279125145788379</v>
      </c>
      <c r="V84" s="326">
        <f>FINV(B70,V71,A84)</f>
        <v>2.261387390487731</v>
      </c>
      <c r="W84" s="325">
        <f>FINV(B70,W71,A84)</f>
        <v>2.234250399367701</v>
      </c>
      <c r="X84" s="326">
        <f>FINV(B70,X71,A84)</f>
        <v>2.2176447544901086</v>
      </c>
      <c r="Y84" s="326">
        <f>FINV(B70,Y71,A84)</f>
        <v>2.2064886907131145</v>
      </c>
    </row>
    <row r="85" spans="1:25" ht="12.75">
      <c r="A85" s="349">
        <v>14</v>
      </c>
      <c r="B85" s="326">
        <f>FINV(B70,B71,A85)</f>
        <v>4.6001099082050185</v>
      </c>
      <c r="C85" s="325">
        <f>FINV(B70,C71,A85)</f>
        <v>3.738891832492336</v>
      </c>
      <c r="D85" s="326">
        <f>FINV(B70,D71,A85)</f>
        <v>3.3438886807214594</v>
      </c>
      <c r="E85" s="325">
        <f>FINV(B70,E71,A85)</f>
        <v>3.1122498480385685</v>
      </c>
      <c r="F85" s="326">
        <f>FINV(B70,F71,A85)</f>
        <v>2.9582489131183785</v>
      </c>
      <c r="G85" s="325">
        <f>FINV(B70,G71,A85)</f>
        <v>2.84772599601728</v>
      </c>
      <c r="H85" s="326">
        <f>FINV(B70,H71,A85)</f>
        <v>2.76419925689094</v>
      </c>
      <c r="I85" s="325">
        <f>FINV(B70,I71,A85)</f>
        <v>2.698672418810289</v>
      </c>
      <c r="J85" s="326">
        <f>FINV(B70,J71,A85)</f>
        <v>2.6457907353282737</v>
      </c>
      <c r="K85" s="325">
        <f>FINV(B70,K71,A85)</f>
        <v>2.6021550511494063</v>
      </c>
      <c r="L85" s="326">
        <f>FINV(B70,L71,A85)</f>
        <v>2.565497406898827</v>
      </c>
      <c r="M85" s="325">
        <f>FINV(B70,M71,A85)</f>
        <v>2.5342432529338463</v>
      </c>
      <c r="N85" s="326">
        <f>FINV(B70,N71,A85)</f>
        <v>2.4837257414343625</v>
      </c>
      <c r="O85" s="325">
        <f>FINV(B70,O71,A85)</f>
        <v>2.4446132296180254</v>
      </c>
      <c r="P85" s="326">
        <f>FINV(B70,P71,A85)</f>
        <v>2.38789605582257</v>
      </c>
      <c r="Q85" s="325">
        <f>FINV(B70,Q71,A85)</f>
        <v>2.34867807687222</v>
      </c>
      <c r="R85" s="326">
        <f>FINV(B70,R71,A85)</f>
        <v>2.308207018728142</v>
      </c>
      <c r="S85" s="325">
        <f>FINV(B70,S71,A85)</f>
        <v>2.266350497409335</v>
      </c>
      <c r="T85" s="326">
        <f>FINV(B70,T71,A85)</f>
        <v>2.2405067711044993</v>
      </c>
      <c r="U85" s="325">
        <f>FINV(B70,U71,A85)</f>
        <v>2.205114787679914</v>
      </c>
      <c r="V85" s="326">
        <f>FINV(B70,V71,A85)</f>
        <v>2.186988142416472</v>
      </c>
      <c r="W85" s="325">
        <f>FINV(B70,W71,A85)</f>
        <v>2.159216392014076</v>
      </c>
      <c r="X85" s="326">
        <f>FINV(B70,X71,A85)</f>
        <v>2.142196835116568</v>
      </c>
      <c r="Y85" s="326">
        <f>FINV(B70,Y71,A85)</f>
        <v>2.130751101517312</v>
      </c>
    </row>
    <row r="86" spans="1:25" ht="12.75">
      <c r="A86" s="349">
        <v>15</v>
      </c>
      <c r="B86" s="326">
        <f>FINV(B70,B71,A86)</f>
        <v>4.543077123133232</v>
      </c>
      <c r="C86" s="325">
        <f>FINV(B70,C71,A86)</f>
        <v>3.6823203437250074</v>
      </c>
      <c r="D86" s="326">
        <f>FINV(B70,D71,A86)</f>
        <v>3.2873821082777477</v>
      </c>
      <c r="E86" s="325">
        <f>FINV(B70,E71,A86)</f>
        <v>3.0555682759829716</v>
      </c>
      <c r="F86" s="326">
        <f>FINV(B70,F71,A86)</f>
        <v>2.901294536189183</v>
      </c>
      <c r="G86" s="325">
        <f>FINV(B70,G71,A86)</f>
        <v>2.7904649974578577</v>
      </c>
      <c r="H86" s="326">
        <f>FINV(B70,H71,A86)</f>
        <v>2.706626782344582</v>
      </c>
      <c r="I86" s="325">
        <f>FINV(B70,I71,A86)</f>
        <v>2.6407968830057316</v>
      </c>
      <c r="J86" s="326">
        <f>FINV(B70,J71,A86)</f>
        <v>2.587626435314461</v>
      </c>
      <c r="K86" s="325">
        <f>FINV(B70,K71,A86)</f>
        <v>2.5437185497969157</v>
      </c>
      <c r="L86" s="326">
        <f>FINV(B70,L71,A86)</f>
        <v>2.5068057258537886</v>
      </c>
      <c r="M86" s="325">
        <f>FINV(B70,M71,A86)</f>
        <v>2.475312973700121</v>
      </c>
      <c r="N86" s="326">
        <f>FINV(B70,N71,A86)</f>
        <v>2.424364357520047</v>
      </c>
      <c r="O86" s="325">
        <f>FINV(B70,O71,A86)</f>
        <v>2.3848750442849562</v>
      </c>
      <c r="P86" s="326">
        <f>FINV(B70,P71,A86)</f>
        <v>2.327535010009205</v>
      </c>
      <c r="Q86" s="325">
        <f>FINV(B70,Q71,A86)</f>
        <v>2.287826059481829</v>
      </c>
      <c r="R86" s="326">
        <f>FINV(B70,R71,A86)</f>
        <v>2.2467891592281894</v>
      </c>
      <c r="S86" s="325">
        <f>FINV(B70,S71,A86)</f>
        <v>2.2042756837276727</v>
      </c>
      <c r="T86" s="326">
        <f>FINV(B70,T71,A86)</f>
        <v>2.1779854428516687</v>
      </c>
      <c r="U86" s="325">
        <f>FINV(B70,U71,A86)</f>
        <v>2.1419251919894773</v>
      </c>
      <c r="V86" s="326">
        <f>FINV(B70,V71,A86)</f>
        <v>2.1234284501597758</v>
      </c>
      <c r="W86" s="325">
        <f>FINV(B70,W71,A86)</f>
        <v>2.0950494370015935</v>
      </c>
      <c r="X86" s="326">
        <f>FINV(B70,X71,A86)</f>
        <v>2.0776317554342043</v>
      </c>
      <c r="Y86" s="326">
        <f>FINV(B70,Y71,A86)</f>
        <v>2.0659063848916848</v>
      </c>
    </row>
    <row r="87" spans="1:25" ht="12.75">
      <c r="A87" s="349">
        <v>16</v>
      </c>
      <c r="B87" s="326">
        <f>FINV(B70,B71,A87)</f>
        <v>4.493998418060235</v>
      </c>
      <c r="C87" s="325">
        <f>FINV(B70,C71,A87)</f>
        <v>3.6337234676434944</v>
      </c>
      <c r="D87" s="326">
        <f>FINV(B70,D71,A87)</f>
        <v>3.238871522361091</v>
      </c>
      <c r="E87" s="325">
        <f>FINV(B70,E71,A87)</f>
        <v>3.006917279999981</v>
      </c>
      <c r="F87" s="326">
        <f>FINV(B70,F71,A87)</f>
        <v>2.852409164980581</v>
      </c>
      <c r="G87" s="325">
        <f>FINV(B70,G71,A87)</f>
        <v>2.7413108284277126</v>
      </c>
      <c r="H87" s="326">
        <f>FINV(B70,H71,A87)</f>
        <v>2.657196600348745</v>
      </c>
      <c r="I87" s="325">
        <f>FINV(B70,I71,A87)</f>
        <v>2.5910961799713066</v>
      </c>
      <c r="J87" s="326">
        <f>FINV(B70,J71,A87)</f>
        <v>2.537666538958514</v>
      </c>
      <c r="K87" s="325">
        <f>FINV(B70,K71,A87)</f>
        <v>2.4935132213834104</v>
      </c>
      <c r="L87" s="326">
        <f>FINV(B70,L71,A87)</f>
        <v>2.4563694314462508</v>
      </c>
      <c r="M87" s="325">
        <f>FINV(B70,M71,A87)</f>
        <v>2.4246600019420024</v>
      </c>
      <c r="N87" s="326">
        <f>FINV(B70,N71,A87)</f>
        <v>2.3733182316846886</v>
      </c>
      <c r="O87" s="325">
        <f>FINV(B70,O71,A87)</f>
        <v>2.3334836283500184</v>
      </c>
      <c r="P87" s="326">
        <f>FINV(B70,P71,A87)</f>
        <v>2.2755695867151786</v>
      </c>
      <c r="Q87" s="325">
        <f>FINV(B70,Q71,A87)</f>
        <v>2.2354054155984056</v>
      </c>
      <c r="R87" s="326">
        <f>FINV(B70,R71,A87)</f>
        <v>2.1938409229969835</v>
      </c>
      <c r="S87" s="325">
        <f>FINV(B70,S71,A87)</f>
        <v>2.150710969627534</v>
      </c>
      <c r="T87" s="326">
        <f>FINV(B70,T71,A87)</f>
        <v>2.1239993106916923</v>
      </c>
      <c r="U87" s="325">
        <f>FINV(B70,U71,A87)</f>
        <v>2.087304687477844</v>
      </c>
      <c r="V87" s="326">
        <f>FINV(B70,V71,A87)</f>
        <v>2.06845471584315</v>
      </c>
      <c r="W87" s="325">
        <f>FINV(B70,W71,A87)</f>
        <v>2.039493140864977</v>
      </c>
      <c r="X87" s="326">
        <f>FINV(B70,X71,A87)</f>
        <v>2.0216915006697684</v>
      </c>
      <c r="Y87" s="326">
        <f>FINV(B70,Y71,A87)</f>
        <v>2.009695472151007</v>
      </c>
    </row>
    <row r="88" spans="1:25" ht="12.75">
      <c r="A88" s="349">
        <v>17</v>
      </c>
      <c r="B88" s="326">
        <f>FINV(B70,B71,A88)</f>
        <v>4.451321691279665</v>
      </c>
      <c r="C88" s="325">
        <f>FINV(B70,C71,A88)</f>
        <v>3.5915305685269994</v>
      </c>
      <c r="D88" s="326">
        <f>FINV(B70,D71,A88)</f>
        <v>3.196776847350562</v>
      </c>
      <c r="E88" s="325">
        <f>FINV(B70,E71,A88)</f>
        <v>2.9647081101160273</v>
      </c>
      <c r="F88" s="326">
        <f>FINV(B70,F71,A88)</f>
        <v>2.8099961743615687</v>
      </c>
      <c r="G88" s="325">
        <f>FINV(B70,G71,A88)</f>
        <v>2.698659901717532</v>
      </c>
      <c r="H88" s="326">
        <f>FINV(B70,H71,A88)</f>
        <v>2.614299045272638</v>
      </c>
      <c r="I88" s="325">
        <f>FINV(B70,I71,A88)</f>
        <v>2.5479553578650362</v>
      </c>
      <c r="J88" s="326">
        <f>FINV(B70,J71,A88)</f>
        <v>2.4942914946313177</v>
      </c>
      <c r="K88" s="325">
        <f>FINV(B70,K71,A88)</f>
        <v>2.449915500493976</v>
      </c>
      <c r="L88" s="326">
        <f>FINV(B70,L71,A88)</f>
        <v>2.4125614420180863</v>
      </c>
      <c r="M88" s="325">
        <f>FINV(B70,M71,A88)</f>
        <v>2.380654161927442</v>
      </c>
      <c r="N88" s="326">
        <f>FINV(B70,N71,A88)</f>
        <v>2.3289520240192827</v>
      </c>
      <c r="O88" s="325">
        <f>FINV(B70,O71,A88)</f>
        <v>2.2887995338342044</v>
      </c>
      <c r="P88" s="326">
        <f>FINV(B70,P71,A88)</f>
        <v>2.2303542822685625</v>
      </c>
      <c r="Q88" s="325">
        <f>FINV(B70,Q71,A88)</f>
        <v>2.1897664562231487</v>
      </c>
      <c r="R88" s="326">
        <f>FINV(B70,R71,A88)</f>
        <v>2.147708361920265</v>
      </c>
      <c r="S88" s="325">
        <f>FINV(B70,S71,A88)</f>
        <v>2.1039981422461427</v>
      </c>
      <c r="T88" s="326">
        <f>FINV(B70,T71,A88)</f>
        <v>2.0768876436892043</v>
      </c>
      <c r="U88" s="325">
        <f>FINV(B70,U71,A88)</f>
        <v>2.039589278279136</v>
      </c>
      <c r="V88" s="326">
        <f>FINV(B70,V71,A88)</f>
        <v>2.02040136655643</v>
      </c>
      <c r="W88" s="325">
        <f>FINV(B70,W71,A88)</f>
        <v>1.990879650112026</v>
      </c>
      <c r="X88" s="326">
        <f>FINV(B70,X71,A88)</f>
        <v>1.9727069003092117</v>
      </c>
      <c r="Y88" s="326">
        <f>FINV(B70,Y71,A88)</f>
        <v>1.9604483386970921</v>
      </c>
    </row>
    <row r="89" spans="1:25" ht="12.75">
      <c r="A89" s="349">
        <v>18</v>
      </c>
      <c r="B89" s="326">
        <f>FINV(B70,B71,A89)</f>
        <v>4.41387340496893</v>
      </c>
      <c r="C89" s="325">
        <f>FINV(B70,C71,A89)</f>
        <v>3.5545571457137326</v>
      </c>
      <c r="D89" s="326">
        <f>FINV(B70,D71,A89)</f>
        <v>3.159907597942186</v>
      </c>
      <c r="E89" s="325">
        <f>FINV(B70,E71,A89)</f>
        <v>2.92774417288149</v>
      </c>
      <c r="F89" s="326">
        <f>FINV(B70,F71,A89)</f>
        <v>2.7728531527503284</v>
      </c>
      <c r="G89" s="325">
        <f>FINV(B70,G71,A89)</f>
        <v>2.6613045230143975</v>
      </c>
      <c r="H89" s="326">
        <f>FINV(B70,H71,A89)</f>
        <v>2.576721729413997</v>
      </c>
      <c r="I89" s="325">
        <f>FINV(B70,I71,A89)</f>
        <v>2.5101578954772004</v>
      </c>
      <c r="J89" s="326">
        <f>FINV(B70,J71,A89)</f>
        <v>2.4562811492136793</v>
      </c>
      <c r="K89" s="325">
        <f>FINV(B70,K71,A89)</f>
        <v>2.4117020399317903</v>
      </c>
      <c r="L89" s="326">
        <f>FINV(B70,L71,A89)</f>
        <v>2.374155594090869</v>
      </c>
      <c r="M89" s="325">
        <f>FINV(B70,M71,A89)</f>
        <v>2.3420667984874743</v>
      </c>
      <c r="N89" s="326">
        <f>FINV(B70,N71,A89)</f>
        <v>2.2900328932164946</v>
      </c>
      <c r="O89" s="325">
        <f>FINV(B70,O71,A89)</f>
        <v>2.249586564057843</v>
      </c>
      <c r="P89" s="326">
        <f>FINV(B70,P71,A89)</f>
        <v>2.1906479256512137</v>
      </c>
      <c r="Q89" s="325">
        <f>FINV(B70,Q71,A89)</f>
        <v>2.149664534895436</v>
      </c>
      <c r="R89" s="326">
        <f>FINV(B70,R71,A89)</f>
        <v>2.107143281920126</v>
      </c>
      <c r="S89" s="325">
        <f>FINV(B70,S71,A89)</f>
        <v>2.0628854464967725</v>
      </c>
      <c r="T89" s="326">
        <f>FINV(B70,T71,A89)</f>
        <v>2.0353965762303803</v>
      </c>
      <c r="U89" s="325">
        <f>FINV(B70,U71,A89)</f>
        <v>1.9975223616296187</v>
      </c>
      <c r="V89" s="326">
        <f>FINV(B70,V71,A89)</f>
        <v>1.9780104793073412</v>
      </c>
      <c r="W89" s="325">
        <f>FINV(B70,W71,A89)</f>
        <v>1.9479491379549003</v>
      </c>
      <c r="X89" s="326">
        <f>FINV(B70,X71,A89)</f>
        <v>1.9294170323191984</v>
      </c>
      <c r="Y89" s="326">
        <f>FINV(B70,Y71,A89)</f>
        <v>1.9169033543107807</v>
      </c>
    </row>
    <row r="90" spans="1:25" ht="12.75">
      <c r="A90" s="349">
        <v>19</v>
      </c>
      <c r="B90" s="326">
        <f>FINV(B70,B71,A90)</f>
        <v>4.380749673270861</v>
      </c>
      <c r="C90" s="325">
        <f>FINV(B70,C71,A90)</f>
        <v>3.5218932606307662</v>
      </c>
      <c r="D90" s="326">
        <f>FINV(B70,D71,A90)</f>
        <v>3.1273500152207196</v>
      </c>
      <c r="E90" s="325">
        <f>FINV(B70,E71,A90)</f>
        <v>2.8951073075815517</v>
      </c>
      <c r="F90" s="326">
        <f>FINV(B70,F71,A90)</f>
        <v>2.740057541345071</v>
      </c>
      <c r="G90" s="325">
        <f>FINV(B70,G71,A90)</f>
        <v>2.6283180384239495</v>
      </c>
      <c r="H90" s="326">
        <f>FINV(B70,H71,A90)</f>
        <v>2.543534301601806</v>
      </c>
      <c r="I90" s="325">
        <f>FINV(B70,I71,A90)</f>
        <v>2.476770147543495</v>
      </c>
      <c r="J90" s="326">
        <f>FINV(B70,J71,A90)</f>
        <v>2.422698937163508</v>
      </c>
      <c r="K90" s="325">
        <f>FINV(B70,K71,A90)</f>
        <v>2.3779336873860073</v>
      </c>
      <c r="L90" s="326">
        <f>FINV(B70,L71,A90)</f>
        <v>2.340210440876673</v>
      </c>
      <c r="M90" s="325">
        <f>FINV(B70,M71,A90)</f>
        <v>2.3079544244864554</v>
      </c>
      <c r="N90" s="326">
        <f>FINV(B70,N71,A90)</f>
        <v>2.2556139018603965</v>
      </c>
      <c r="O90" s="325">
        <f>FINV(B70,O71,A90)</f>
        <v>2.2148950034230754</v>
      </c>
      <c r="P90" s="326">
        <f>FINV(B70,P71,A90)</f>
        <v>2.1554966372026882</v>
      </c>
      <c r="Q90" s="325">
        <f>FINV(B70,Q71,A90)</f>
        <v>2.114142852968156</v>
      </c>
      <c r="R90" s="326">
        <f>FINV(B70,R71,A90)</f>
        <v>2.0711858836207906</v>
      </c>
      <c r="S90" s="325">
        <f>FINV(B70,S71,A90)</f>
        <v>2.026410055149607</v>
      </c>
      <c r="T90" s="326">
        <f>FINV(B70,T71,A90)</f>
        <v>1.9985614824388276</v>
      </c>
      <c r="U90" s="325">
        <f>FINV(B70,U71,A90)</f>
        <v>1.960136977055586</v>
      </c>
      <c r="V90" s="326">
        <f>FINV(B70,V71,A90)</f>
        <v>1.9403139685179798</v>
      </c>
      <c r="W90" s="325">
        <f>FINV(B70,W71,A90)</f>
        <v>1.909731900254775</v>
      </c>
      <c r="X90" s="326">
        <f>FINV(B70,X71,A90)</f>
        <v>1.890851264642749</v>
      </c>
      <c r="Y90" s="326">
        <f>FINV(B70,Y71,A90)</f>
        <v>1.878089288197736</v>
      </c>
    </row>
    <row r="91" spans="1:25" ht="12.75">
      <c r="A91" s="349">
        <v>20</v>
      </c>
      <c r="B91" s="326">
        <f>FINV(B70,B71,A91)</f>
        <v>4.351243478421539</v>
      </c>
      <c r="C91" s="325">
        <f>FINV(B70,C71,A91)</f>
        <v>3.492828476787534</v>
      </c>
      <c r="D91" s="326">
        <f>FINV(B70,D71,A91)</f>
        <v>3.0983912244394283</v>
      </c>
      <c r="E91" s="325">
        <f>FINV(B70,E71,A91)</f>
        <v>2.8660814020888035</v>
      </c>
      <c r="F91" s="326">
        <f>FINV(B70,F71,A91)</f>
        <v>2.710889836763136</v>
      </c>
      <c r="G91" s="325">
        <f>FINV(B70,G71,A91)</f>
        <v>2.598977711648656</v>
      </c>
      <c r="H91" s="326">
        <f>FINV(B70,H71,A91)</f>
        <v>2.5140110631923207</v>
      </c>
      <c r="I91" s="325">
        <f>FINV(B70,I71,A91)</f>
        <v>2.4470637480707227</v>
      </c>
      <c r="J91" s="326">
        <f>FINV(B70,J71,A91)</f>
        <v>2.3928141084646004</v>
      </c>
      <c r="K91" s="325">
        <f>FINV(B70,K71,A91)</f>
        <v>2.3478775670929446</v>
      </c>
      <c r="L91" s="326">
        <f>FINV(B70,L71,A91)</f>
        <v>2.3099912106326697</v>
      </c>
      <c r="M91" s="325">
        <f>FINV(B70,M71,A91)</f>
        <v>2.2775805742387796</v>
      </c>
      <c r="N91" s="326">
        <f>FINV(B70,N71,A91)</f>
        <v>2.224955706280845</v>
      </c>
      <c r="O91" s="325">
        <f>FINV(B70,O71,A91)</f>
        <v>2.1839831671558</v>
      </c>
      <c r="P91" s="326">
        <f>FINV(B70,P71,A91)</f>
        <v>2.1241552129755474</v>
      </c>
      <c r="Q91" s="325">
        <f>FINV(B70,Q71,A91)</f>
        <v>2.082453718241485</v>
      </c>
      <c r="R91" s="326">
        <f>FINV(B70,R71,A91)</f>
        <v>2.0390859041662432</v>
      </c>
      <c r="S91" s="325">
        <f>FINV(B70,S71,A91)</f>
        <v>1.9938190986086917</v>
      </c>
      <c r="T91" s="326">
        <f>FINV(B70,T71,A91)</f>
        <v>1.9656279394114908</v>
      </c>
      <c r="U91" s="325">
        <f>FINV(B70,U71,A91)</f>
        <v>1.9266766828429391</v>
      </c>
      <c r="V91" s="326">
        <f>FINV(B70,V71,A91)</f>
        <v>1.906554419895186</v>
      </c>
      <c r="W91" s="325">
        <f>FINV(B70,W71,A91)</f>
        <v>1.8754691263318692</v>
      </c>
      <c r="X91" s="326">
        <f>FINV(B70,X71,A91)</f>
        <v>1.8562499885801627</v>
      </c>
      <c r="Y91" s="326">
        <f>FINV(B70,Y71,A91)</f>
        <v>1.8432460180191286</v>
      </c>
    </row>
    <row r="92" spans="1:25" ht="12.75">
      <c r="A92" s="349">
        <v>21</v>
      </c>
      <c r="B92" s="326">
        <f>FINV(B70,B71,A92)</f>
        <v>4.324793711385924</v>
      </c>
      <c r="C92" s="325">
        <f>FINV(B70,C71,A92)</f>
        <v>3.466800111594279</v>
      </c>
      <c r="D92" s="326">
        <f>FINV(B70,D71,A92)</f>
        <v>3.07246700110365</v>
      </c>
      <c r="E92" s="325">
        <f>FINV(B70,E71,A92)</f>
        <v>2.8400998075480084</v>
      </c>
      <c r="F92" s="326">
        <f>FINV(B70,F71,A92)</f>
        <v>2.6847807296084616</v>
      </c>
      <c r="G92" s="325">
        <f>FINV(B70,G71,A92)</f>
        <v>2.5727116405930683</v>
      </c>
      <c r="H92" s="326">
        <f>FINV(B70,H71,A92)</f>
        <v>2.4875777039403735</v>
      </c>
      <c r="I92" s="325">
        <f>FINV(B70,I71,A92)</f>
        <v>2.4204621974441567</v>
      </c>
      <c r="J92" s="326">
        <f>FINV(B70,J71,A92)</f>
        <v>2.3660481920380976</v>
      </c>
      <c r="K92" s="325">
        <f>FINV(B70,K71,A92)</f>
        <v>2.320953439400655</v>
      </c>
      <c r="L92" s="326">
        <f>FINV(B70,L71,A92)</f>
        <v>2.282916078246287</v>
      </c>
      <c r="M92" s="325">
        <f>FINV(B70,M71,A92)</f>
        <v>2.250361999158353</v>
      </c>
      <c r="N92" s="326">
        <f>FINV(B70,N71,A92)</f>
        <v>2.1974726257392643</v>
      </c>
      <c r="O92" s="325">
        <f>FINV(B70,O71,A92)</f>
        <v>2.1562633893265586</v>
      </c>
      <c r="P92" s="326">
        <f>FINV(B70,P71,A92)</f>
        <v>2.0960329765947385</v>
      </c>
      <c r="Q92" s="325">
        <f>FINV(B70,Q71,A92)</f>
        <v>2.054004312228461</v>
      </c>
      <c r="R92" s="326">
        <f>FINV(B70,R71,A92)</f>
        <v>2.010248299994111</v>
      </c>
      <c r="S92" s="325">
        <f>FINV(B70,S71,A92)</f>
        <v>1.9645152654823224</v>
      </c>
      <c r="T92" s="326">
        <f>FINV(B70,T71,A92)</f>
        <v>1.9359972798119305</v>
      </c>
      <c r="U92" s="325">
        <f>FINV(B70,U71,A92)</f>
        <v>1.8965410463215946</v>
      </c>
      <c r="V92" s="326">
        <f>FINV(B70,V71,A92)</f>
        <v>1.8761305502366117</v>
      </c>
      <c r="W92" s="325">
        <f>FINV(B70,W71,A92)</f>
        <v>1.8445583137860875</v>
      </c>
      <c r="X92" s="326">
        <f>FINV(B70,X71,A92)</f>
        <v>1.8250100069742508</v>
      </c>
      <c r="Y92" s="326">
        <f>FINV(B70,Y71,A92)</f>
        <v>1.811769900352902</v>
      </c>
    </row>
    <row r="93" spans="1:25" ht="12.75">
      <c r="A93" s="349">
        <v>22</v>
      </c>
      <c r="B93" s="326">
        <f>FINV(B70,B71,A93)</f>
        <v>4.300949462007326</v>
      </c>
      <c r="C93" s="325">
        <f>FINV(B70,C71,A93)</f>
        <v>3.443356779418532</v>
      </c>
      <c r="D93" s="326">
        <f>FINV(B70,D71,A93)</f>
        <v>3.049125005973554</v>
      </c>
      <c r="E93" s="325">
        <f>FINV(B70,E71,A93)</f>
        <v>2.8167083397123855</v>
      </c>
      <c r="F93" s="326">
        <f>FINV(B70,F71,A93)</f>
        <v>2.6612739164184047</v>
      </c>
      <c r="G93" s="325">
        <f>FINV(B70,G71,A93)</f>
        <v>2.549061413926366</v>
      </c>
      <c r="H93" s="326">
        <f>FINV(B70,H71,A93)</f>
        <v>2.4637738302074688</v>
      </c>
      <c r="I93" s="325">
        <f>FINV(B70,I71,A93)</f>
        <v>2.396503283852531</v>
      </c>
      <c r="J93" s="326">
        <f>FINV(B70,J71,A93)</f>
        <v>2.341937327646197</v>
      </c>
      <c r="K93" s="325">
        <f>FINV(B70,K71,A93)</f>
        <v>2.2966959570296384</v>
      </c>
      <c r="L93" s="326">
        <f>FINV(B70,L71,A93)</f>
        <v>2.2585183570790983</v>
      </c>
      <c r="M93" s="325">
        <f>FINV(B70,M71,A93)</f>
        <v>2.2258308071771955</v>
      </c>
      <c r="N93" s="326">
        <f>FINV(B70,N71,A93)</f>
        <v>2.1726946935617395</v>
      </c>
      <c r="O93" s="325">
        <f>FINV(B70,O71,A93)</f>
        <v>2.1312640004906145</v>
      </c>
      <c r="P93" s="326">
        <f>FINV(B70,P71,A93)</f>
        <v>2.0706556612558407</v>
      </c>
      <c r="Q93" s="325">
        <f>FINV(B70,Q71,A93)</f>
        <v>2.0283185079770334</v>
      </c>
      <c r="R93" s="326">
        <f>FINV(B70,R71,A93)</f>
        <v>1.984195001585476</v>
      </c>
      <c r="S93" s="325">
        <f>FINV(B70,S71,A93)</f>
        <v>1.9380184960813351</v>
      </c>
      <c r="T93" s="326">
        <f>FINV(B70,T71,A93)</f>
        <v>1.9091882497291013</v>
      </c>
      <c r="U93" s="325">
        <f>FINV(B70,U71,A93)</f>
        <v>1.8692472556132342</v>
      </c>
      <c r="V93" s="326">
        <f>FINV(B70,V71,A93)</f>
        <v>1.848558796705579</v>
      </c>
      <c r="W93" s="325">
        <f>FINV(B70,W71,A93)</f>
        <v>1.8165148246990959</v>
      </c>
      <c r="X93" s="326">
        <f>FINV(B70,X71,A93)</f>
        <v>1.7966460708795258</v>
      </c>
      <c r="Y93" s="326">
        <f>FINV(B70,Y71,A93)</f>
        <v>1.7831752947077346</v>
      </c>
    </row>
    <row r="94" spans="1:25" ht="12.75">
      <c r="A94" s="349">
        <v>23</v>
      </c>
      <c r="B94" s="326">
        <f>FINV(B70,B71,A94)</f>
        <v>4.27934426028912</v>
      </c>
      <c r="C94" s="325">
        <f>FINV(B70,C71,A94)</f>
        <v>3.422132207912928</v>
      </c>
      <c r="D94" s="326">
        <f>FINV(B70,D71,A94)</f>
        <v>3.0279983836428794</v>
      </c>
      <c r="E94" s="325">
        <f>FINV(B70,E71,A94)</f>
        <v>2.795538737433046</v>
      </c>
      <c r="F94" s="326">
        <f>FINV(B70,F71,A94)</f>
        <v>2.639999425206981</v>
      </c>
      <c r="G94" s="325">
        <f>FINV(B70,G71,A94)</f>
        <v>2.527655325324101</v>
      </c>
      <c r="H94" s="326">
        <f>FINV(B70,H71,A94)</f>
        <v>2.4422260859633402</v>
      </c>
      <c r="I94" s="325">
        <f>FINV(B70,I71,A94)</f>
        <v>2.374812125908208</v>
      </c>
      <c r="J94" s="326">
        <f>FINV(B70,J71,A94)</f>
        <v>2.320105242272164</v>
      </c>
      <c r="K94" s="325">
        <f>FINV(B70,K71,A94)</f>
        <v>2.274727585123956</v>
      </c>
      <c r="L94" s="326">
        <f>FINV(B70,L71,A94)</f>
        <v>2.2364193703580195</v>
      </c>
      <c r="M94" s="325">
        <f>FINV(B70,M71,A94)</f>
        <v>2.2036072890221847</v>
      </c>
      <c r="N94" s="326">
        <f>FINV(B70,N71,A94)</f>
        <v>2.150240419048897</v>
      </c>
      <c r="O94" s="325">
        <f>FINV(B70,O71,A94)</f>
        <v>2.1086020385469</v>
      </c>
      <c r="P94" s="326">
        <f>FINV(B70,P71,A94)</f>
        <v>2.04763804684689</v>
      </c>
      <c r="Q94" s="325">
        <f>FINV(B70,Q71,A94)</f>
        <v>2.005009458147553</v>
      </c>
      <c r="R94" s="326">
        <f>FINV(B70,R71,A94)</f>
        <v>1.96053745330325</v>
      </c>
      <c r="S94" s="325">
        <f>FINV(B70,S71,A94)</f>
        <v>1.9139384754634534</v>
      </c>
      <c r="T94" s="326">
        <f>FINV(B70,T71,A94)</f>
        <v>1.8848094745633297</v>
      </c>
      <c r="U94" s="325">
        <f>FINV(B70,U71,A94)</f>
        <v>1.8444025505019912</v>
      </c>
      <c r="V94" s="326">
        <f>FINV(B70,V71,A94)</f>
        <v>1.823445730696453</v>
      </c>
      <c r="W94" s="325">
        <f>FINV(B70,W71,A94)</f>
        <v>1.7909442745465523</v>
      </c>
      <c r="X94" s="326">
        <f>FINV(B70,X71,A94)</f>
        <v>1.770763253774505</v>
      </c>
      <c r="Y94" s="326">
        <f>FINV(B70,Y71,A94)</f>
        <v>1.757066927806052</v>
      </c>
    </row>
    <row r="95" spans="1:25" ht="12.75">
      <c r="A95" s="349">
        <v>24</v>
      </c>
      <c r="B95" s="326">
        <f>FINV(B70,B71,A95)</f>
        <v>4.259677213621634</v>
      </c>
      <c r="C95" s="325">
        <f>FINV(B70,C71,A95)</f>
        <v>3.402826105401874</v>
      </c>
      <c r="D95" s="326">
        <f>FINV(B70,D71,A95)</f>
        <v>3.0087865720018208</v>
      </c>
      <c r="E95" s="325">
        <f>FINV(B70,E71,A95)</f>
        <v>2.7762892893226967</v>
      </c>
      <c r="F95" s="326">
        <f>FINV(B70,F71,A95)</f>
        <v>2.6206541468577296</v>
      </c>
      <c r="G95" s="325">
        <f>FINV(B70,G71,A95)</f>
        <v>2.508188823504451</v>
      </c>
      <c r="H95" s="326">
        <f>FINV(B70,H71,A95)</f>
        <v>2.4226285337346676</v>
      </c>
      <c r="I95" s="325">
        <f>FINV(B70,I71,A95)</f>
        <v>2.3550814949328354</v>
      </c>
      <c r="J95" s="326">
        <f>FINV(B70,J71,A95)</f>
        <v>2.30024352244285</v>
      </c>
      <c r="K95" s="325">
        <f>FINV(B70,K71,A95)</f>
        <v>2.254738830822186</v>
      </c>
      <c r="L95" s="326">
        <f>FINV(B70,L71,A95)</f>
        <v>2.216308645649998</v>
      </c>
      <c r="M95" s="325">
        <f>FINV(B70,M71,A95)</f>
        <v>2.1833800817040565</v>
      </c>
      <c r="N95" s="326">
        <f>FINV(B70,N71,A95)</f>
        <v>2.129796896513793</v>
      </c>
      <c r="O95" s="325">
        <f>FINV(B70,O71,A95)</f>
        <v>2.0879633175846735</v>
      </c>
      <c r="P95" s="326">
        <f>FINV(B70,P71,A95)</f>
        <v>2.026663971502911</v>
      </c>
      <c r="Q95" s="325">
        <f>FINV(B70,Q71,A95)</f>
        <v>1.983759568330954</v>
      </c>
      <c r="R95" s="326">
        <f>FINV(B70,R71,A95)</f>
        <v>1.9389565490494167</v>
      </c>
      <c r="S95" s="325">
        <f>FINV(B70,S71,A95)</f>
        <v>1.8919545325739007</v>
      </c>
      <c r="T95" s="326">
        <f>FINV(B70,T71,A95)</f>
        <v>1.8625393370159378</v>
      </c>
      <c r="U95" s="325">
        <f>FINV(B70,U71,A95)</f>
        <v>1.821684073239541</v>
      </c>
      <c r="V95" s="326">
        <f>FINV(B70,V71,A95)</f>
        <v>1.8004678954820355</v>
      </c>
      <c r="W95" s="325">
        <f>FINV(B70,W71,A95)</f>
        <v>1.7675223505925581</v>
      </c>
      <c r="X95" s="326">
        <f>FINV(B70,X71,A95)</f>
        <v>1.7470367586400264</v>
      </c>
      <c r="Y95" s="326">
        <f>FINV(B70,Y71,A95)</f>
        <v>1.7331196934507136</v>
      </c>
    </row>
    <row r="96" spans="1:25" ht="12.75">
      <c r="A96" s="349">
        <v>25</v>
      </c>
      <c r="B96" s="326">
        <f>FINV(B70,B71,A96)</f>
        <v>4.2416989798627345</v>
      </c>
      <c r="C96" s="325">
        <f>FINV(B70,C71,A96)</f>
        <v>3.385189961500754</v>
      </c>
      <c r="D96" s="326">
        <f>FINV(B70,D71,A96)</f>
        <v>2.9912409113722127</v>
      </c>
      <c r="E96" s="325">
        <f>FINV(B70,E71,A96)</f>
        <v>2.7587104697884213</v>
      </c>
      <c r="F96" s="326">
        <f>FINV(B70,F71,A96)</f>
        <v>2.6029874016104815</v>
      </c>
      <c r="G96" s="325">
        <f>FINV(B70,G71,A96)</f>
        <v>2.4904100181679203</v>
      </c>
      <c r="H96" s="326">
        <f>FINV(B70,H71,A96)</f>
        <v>2.4047281084529892</v>
      </c>
      <c r="I96" s="325">
        <f>FINV(B70,I71,A96)</f>
        <v>2.337057224146041</v>
      </c>
      <c r="J96" s="326">
        <f>FINV(B70,J71,A96)</f>
        <v>2.2820969850967217</v>
      </c>
      <c r="K96" s="325">
        <f>FINV(B70,K71,A96)</f>
        <v>2.2364735811390455</v>
      </c>
      <c r="L96" s="326">
        <f>FINV(B70,L71,A96)</f>
        <v>2.197929221827276</v>
      </c>
      <c r="M96" s="325">
        <f>FINV(B70,M71,A96)</f>
        <v>2.164891452508785</v>
      </c>
      <c r="N96" s="326">
        <f>FINV(B70,N71,A96)</f>
        <v>2.111105049243972</v>
      </c>
      <c r="O96" s="325">
        <f>FINV(B70,O71,A96)</f>
        <v>2.069087640246763</v>
      </c>
      <c r="P96" s="326">
        <f>FINV(B70,P71,A96)</f>
        <v>2.007471498711113</v>
      </c>
      <c r="Q96" s="325">
        <f>FINV(B70,Q71,A96)</f>
        <v>1.9643056338331712</v>
      </c>
      <c r="R96" s="326">
        <f>FINV(B70,R71,A96)</f>
        <v>1.9191877391285788</v>
      </c>
      <c r="S96" s="325">
        <f>FINV(B70,S71,A96)</f>
        <v>1.871800718091587</v>
      </c>
      <c r="T96" s="326">
        <f>FINV(B70,T71,A96)</f>
        <v>1.8421110381531975</v>
      </c>
      <c r="U96" s="325">
        <f>FINV(B70,U71,A96)</f>
        <v>1.8008239080993325</v>
      </c>
      <c r="V96" s="326">
        <f>FINV(B70,V71,A96)</f>
        <v>1.779356835388783</v>
      </c>
      <c r="W96" s="325">
        <f>FINV(B70,W71,A96)</f>
        <v>1.7459798259210353</v>
      </c>
      <c r="X96" s="326">
        <f>FINV(B70,X71,A96)</f>
        <v>1.725196923113229</v>
      </c>
      <c r="Y96" s="326">
        <f>FINV(B70,Y71,A96)</f>
        <v>1.7110636517841997</v>
      </c>
    </row>
    <row r="97" spans="1:25" ht="12.75">
      <c r="A97" s="349">
        <v>26</v>
      </c>
      <c r="B97" s="326">
        <f>FINV(B70,B71,A97)</f>
        <v>4.225201190239561</v>
      </c>
      <c r="C97" s="325">
        <f>FINV(B70,C71,A97)</f>
        <v>3.3690163595469453</v>
      </c>
      <c r="D97" s="326">
        <f>FINV(B70,D71,A97)</f>
        <v>2.9751539660870048</v>
      </c>
      <c r="E97" s="325">
        <f>FINV(B70,E71,A97)</f>
        <v>2.742594137292257</v>
      </c>
      <c r="F97" s="326">
        <f>FINV(B70,F71,A97)</f>
        <v>2.5867900857028383</v>
      </c>
      <c r="G97" s="325">
        <f>FINV(B70,G71,A97)</f>
        <v>2.4741087808508206</v>
      </c>
      <c r="H97" s="326">
        <f>FINV(B70,H71,A97)</f>
        <v>2.3883136784194896</v>
      </c>
      <c r="I97" s="325">
        <f>FINV(B70,I71,A97)</f>
        <v>2.320527235118651</v>
      </c>
      <c r="J97" s="326">
        <f>FINV(B70,J71,A97)</f>
        <v>2.2654526742122574</v>
      </c>
      <c r="K97" s="325">
        <f>FINV(B70,K71,A97)</f>
        <v>2.219718073772712</v>
      </c>
      <c r="L97" s="326">
        <f>FINV(B70,L71,A97)</f>
        <v>2.1810665989659146</v>
      </c>
      <c r="M97" s="325">
        <f>FINV(B70,M71,A97)</f>
        <v>2.1479262278110056</v>
      </c>
      <c r="N97" s="326">
        <f>FINV(B70,N71,A97)</f>
        <v>2.093948526084456</v>
      </c>
      <c r="O97" s="325">
        <f>FINV(B70,O71,A97)</f>
        <v>2.0517576691176727</v>
      </c>
      <c r="P97" s="326">
        <f>FINV(B70,P71,A97)</f>
        <v>1.9898417524358853</v>
      </c>
      <c r="Q97" s="325">
        <f>FINV(B70,Q71,A97)</f>
        <v>1.946427650404944</v>
      </c>
      <c r="R97" s="326">
        <f>FINV(B70,R71,A97)</f>
        <v>1.9010098168481826</v>
      </c>
      <c r="S97" s="325">
        <f>FINV(B70,S71,A97)</f>
        <v>1.853254567611025</v>
      </c>
      <c r="T97" s="326">
        <f>FINV(B70,T71,A97)</f>
        <v>1.823301347057523</v>
      </c>
      <c r="U97" s="325">
        <f>FINV(B70,U71,A97)</f>
        <v>1.7815978137270023</v>
      </c>
      <c r="V97" s="326">
        <f>FINV(B70,V71,A97)</f>
        <v>1.7598878198240175</v>
      </c>
      <c r="W97" s="325">
        <f>FINV(B70,W71,A97)</f>
        <v>1.7260912713497185</v>
      </c>
      <c r="X97" s="326">
        <f>FINV(B70,X71,A97)</f>
        <v>1.7050179243149621</v>
      </c>
      <c r="Y97" s="326">
        <f>FINV(B70,Y71,A97)</f>
        <v>1.6906727294267205</v>
      </c>
    </row>
    <row r="98" spans="1:25" ht="12.75">
      <c r="A98" s="349">
        <v>27</v>
      </c>
      <c r="B98" s="326">
        <f>FINV(B70,B71,A98)</f>
        <v>4.21000837188428</v>
      </c>
      <c r="C98" s="325">
        <f>FINV(B70,C71,A98)</f>
        <v>3.3541308285806135</v>
      </c>
      <c r="D98" s="326">
        <f>FINV(B70,D71,A98)</f>
        <v>2.9603513208392105</v>
      </c>
      <c r="E98" s="325">
        <f>FINV(B70,E71,A98)</f>
        <v>2.7277653061040157</v>
      </c>
      <c r="F98" s="326">
        <f>FINV(B70,F71,A98)</f>
        <v>2.5718864042300744</v>
      </c>
      <c r="G98" s="325">
        <f>FINV(B70,G71,A98)</f>
        <v>2.4591084426575955</v>
      </c>
      <c r="H98" s="326">
        <f>FINV(B70,H71,A98)</f>
        <v>2.3732077120701573</v>
      </c>
      <c r="I98" s="325">
        <f>FINV(B70,I71,A98)</f>
        <v>2.305313177511553</v>
      </c>
      <c r="J98" s="326">
        <f>FINV(B70,J71,A98)</f>
        <v>2.250131477032186</v>
      </c>
      <c r="K98" s="325">
        <f>FINV(B70,K71,A98)</f>
        <v>2.204292492859289</v>
      </c>
      <c r="L98" s="326">
        <f>FINV(B70,L71,A98)</f>
        <v>2.1655403158755524</v>
      </c>
      <c r="M98" s="325">
        <f>FINV(B70,M71,A98)</f>
        <v>2.1323033553256554</v>
      </c>
      <c r="N98" s="326">
        <f>FINV(B70,N71,A98)</f>
        <v>2.078145237803894</v>
      </c>
      <c r="O98" s="325">
        <f>FINV(B70,O71,A98)</f>
        <v>2.035790442754453</v>
      </c>
      <c r="P98" s="326">
        <f>FINV(B70,P71,A98)</f>
        <v>1.9735904037351837</v>
      </c>
      <c r="Q98" s="325">
        <f>FINV(B70,Q71,A98)</f>
        <v>1.929940280983463</v>
      </c>
      <c r="R98" s="326">
        <f>FINV(B70,R71,A98)</f>
        <v>1.884236365549559</v>
      </c>
      <c r="S98" s="325">
        <f>FINV(B70,S71,A98)</f>
        <v>1.8361285295198129</v>
      </c>
      <c r="T98" s="326">
        <f>FINV(B70,T71,A98)</f>
        <v>1.8059220176444142</v>
      </c>
      <c r="U98" s="325">
        <f>FINV(B70,U71,A98)</f>
        <v>1.7638166258434778</v>
      </c>
      <c r="V98" s="326">
        <f>FINV(B70,V71,A98)</f>
        <v>1.7418712392067226</v>
      </c>
      <c r="W98" s="325">
        <f>FINV(B70,W71,A98)</f>
        <v>1.707666441530895</v>
      </c>
      <c r="X98" s="326">
        <f>FINV(B70,X71,A98)</f>
        <v>1.6863091592149226</v>
      </c>
      <c r="Y98" s="326">
        <f>FINV(B70,Y71,A98)</f>
        <v>1.6717560963133207</v>
      </c>
    </row>
    <row r="99" spans="1:25" ht="12.75">
      <c r="A99" s="349">
        <v>28</v>
      </c>
      <c r="B99" s="326">
        <f>FINV(B70,B71,A99)</f>
        <v>4.1959717074015295</v>
      </c>
      <c r="C99" s="325">
        <f>FINV(B70,C71,A99)</f>
        <v>3.340385558289091</v>
      </c>
      <c r="D99" s="326">
        <f>FINV(B70,D71,A99)</f>
        <v>2.9466852687816703</v>
      </c>
      <c r="E99" s="325">
        <f>FINV(B70,E71,A99)</f>
        <v>2.714075804214736</v>
      </c>
      <c r="F99" s="326">
        <f>FINV(B70,F71,A99)</f>
        <v>2.558127499351863</v>
      </c>
      <c r="G99" s="325">
        <f>FINV(B70,G71,A99)</f>
        <v>2.445259395168069</v>
      </c>
      <c r="H99" s="326">
        <f>FINV(B70,H71,A99)</f>
        <v>2.3592598545442662</v>
      </c>
      <c r="I99" s="325">
        <f>FINV(B70,I71,A99)</f>
        <v>2.2912639842275455</v>
      </c>
      <c r="J99" s="326">
        <f>FINV(B70,J71,A99)</f>
        <v>2.23598166046179</v>
      </c>
      <c r="K99" s="325">
        <f>FINV(B70,K71,A99)</f>
        <v>2.190044488960522</v>
      </c>
      <c r="L99" s="326">
        <f>FINV(B70,L71,A99)</f>
        <v>2.1511974557044082</v>
      </c>
      <c r="M99" s="325">
        <f>FINV(B70,M71,A99)</f>
        <v>2.1178693970725355</v>
      </c>
      <c r="N99" s="326">
        <f>FINV(B70,N71,A99)</f>
        <v>2.063540829044996</v>
      </c>
      <c r="O99" s="325">
        <f>FINV(B70,O71,A99)</f>
        <v>2.021030831048269</v>
      </c>
      <c r="P99" s="326">
        <f>FINV(B70,P71,A99)</f>
        <v>1.9585611020065579</v>
      </c>
      <c r="Q99" s="325">
        <f>FINV(B70,Q71,A99)</f>
        <v>1.9146862705699808</v>
      </c>
      <c r="R99" s="326">
        <f>FINV(B70,R71,A99)</f>
        <v>1.868709157204521</v>
      </c>
      <c r="S99" s="325">
        <f>FINV(B70,S71,A99)</f>
        <v>1.820263347747971</v>
      </c>
      <c r="T99" s="326">
        <f>FINV(B70,T71,A99)</f>
        <v>1.7898131622614906</v>
      </c>
      <c r="U99" s="325">
        <f>FINV(B70,U71,A99)</f>
        <v>1.7473196191874454</v>
      </c>
      <c r="V99" s="326">
        <f>FINV(B70,V71,A99)</f>
        <v>1.7251459613305524</v>
      </c>
      <c r="W99" s="325">
        <f>FINV(B70,W71,A99)</f>
        <v>1.6905436257182798</v>
      </c>
      <c r="X99" s="326">
        <f>FINV(B70,X71,A99)</f>
        <v>1.6689085906875092</v>
      </c>
      <c r="Y99" s="326">
        <f>FINV(B70,Y71,A99)</f>
        <v>1.6541515082608118</v>
      </c>
    </row>
    <row r="100" spans="1:25" ht="12.75">
      <c r="A100" s="349">
        <v>29</v>
      </c>
      <c r="B100" s="326">
        <f>FINV(B70,B71,A100)</f>
        <v>4.182964162155219</v>
      </c>
      <c r="C100" s="325">
        <f>FINV(B70,C71,A100)</f>
        <v>3.3276544986233123</v>
      </c>
      <c r="D100" s="326">
        <f>FINV(B70,D71,A100)</f>
        <v>2.9340298927864144</v>
      </c>
      <c r="E100" s="325">
        <f>FINV(B70,E71,A100)</f>
        <v>2.7013993319925858</v>
      </c>
      <c r="F100" s="326">
        <f>FINV(B70,F71,A100)</f>
        <v>2.545386485974837</v>
      </c>
      <c r="G100" s="325">
        <f>FINV(B70,G71,A100)</f>
        <v>2.432434104654937</v>
      </c>
      <c r="H100" s="326">
        <f>FINV(B70,H71,A100)</f>
        <v>2.346341922559608</v>
      </c>
      <c r="I100" s="325">
        <f>FINV(B70,I71,A100)</f>
        <v>2.278250849134241</v>
      </c>
      <c r="J100" s="326">
        <f>FINV(B70,J71,A100)</f>
        <v>2.2228738336809446</v>
      </c>
      <c r="K100" s="325">
        <f>FINV(B70,K71,A100)</f>
        <v>2.176844128387308</v>
      </c>
      <c r="L100" s="326">
        <f>FINV(B70,L71,A100)</f>
        <v>2.137907583567749</v>
      </c>
      <c r="M100" s="325">
        <f>FINV(B70,M71,A100)</f>
        <v>2.1044934566899123</v>
      </c>
      <c r="N100" s="326">
        <f>FINV(B70,N71,A100)</f>
        <v>2.050003588415559</v>
      </c>
      <c r="O100" s="325">
        <f>FINV(B70,O71,A100)</f>
        <v>2.0073464316550513</v>
      </c>
      <c r="P100" s="326">
        <f>FINV(B70,P71,A100)</f>
        <v>1.944620351460113</v>
      </c>
      <c r="Q100" s="325">
        <f>FINV(B70,Q71,A100)</f>
        <v>1.9005313090938887</v>
      </c>
      <c r="R100" s="326">
        <f>FINV(B70,R71,A100)</f>
        <v>1.8542930017001562</v>
      </c>
      <c r="S100" s="325">
        <f>FINV(B70,S71,A100)</f>
        <v>1.805522897808534</v>
      </c>
      <c r="T100" s="326">
        <f>FINV(B70,T71,A100)</f>
        <v>1.7748380800798054</v>
      </c>
      <c r="U100" s="325">
        <f>FINV(B70,U71,A100)</f>
        <v>1.7319693289123679</v>
      </c>
      <c r="V100" s="326">
        <f>FINV(B70,V71,A100)</f>
        <v>1.709574148302333</v>
      </c>
      <c r="W100" s="325">
        <f>FINV(B70,W71,A100)</f>
        <v>1.6745844457338825</v>
      </c>
      <c r="X100" s="326">
        <f>FINV(B70,X71,A100)</f>
        <v>1.6526775415977002</v>
      </c>
      <c r="Y100" s="326">
        <f>FINV(B70,Y71,A100)</f>
        <v>1.6377200990667058</v>
      </c>
    </row>
    <row r="101" spans="1:25" ht="12.75">
      <c r="A101" s="349">
        <v>30</v>
      </c>
      <c r="B101" s="326">
        <f>FINV(B70,B71,A101)</f>
        <v>4.170876757442638</v>
      </c>
      <c r="C101" s="325">
        <f>FINV(B70,C71,A101)</f>
        <v>3.315829501064668</v>
      </c>
      <c r="D101" s="326">
        <f>FINV(B70,D71,A101)</f>
        <v>2.922277194145524</v>
      </c>
      <c r="E101" s="325">
        <f>FINV(B70,E71,A101)</f>
        <v>2.6896275737604016</v>
      </c>
      <c r="F101" s="326">
        <f>FINV(B70,F71,A101)</f>
        <v>2.5335545453615556</v>
      </c>
      <c r="G101" s="325">
        <f>FINV(B70,G71,A101)</f>
        <v>2.4205231886351974</v>
      </c>
      <c r="H101" s="326">
        <f>FINV(B70,H71,A101)</f>
        <v>2.33434396543789</v>
      </c>
      <c r="I101" s="325">
        <f>FINV(B70,I71,A101)</f>
        <v>2.26616327422017</v>
      </c>
      <c r="J101" s="326">
        <f>FINV(B70,J71,A101)</f>
        <v>2.210696983011627</v>
      </c>
      <c r="K101" s="325">
        <f>FINV(B70,K71,A101)</f>
        <v>2.1645799172096565</v>
      </c>
      <c r="L101" s="326">
        <f>FINV(B70,L71,A101)</f>
        <v>2.125558760964479</v>
      </c>
      <c r="M101" s="325">
        <f>FINV(B70,M71,A101)</f>
        <v>2.0920631853610248</v>
      </c>
      <c r="N101" s="326">
        <f>FINV(B70,N71,A101)</f>
        <v>2.0374204401797895</v>
      </c>
      <c r="O101" s="325">
        <f>FINV(B70,O71,A101)</f>
        <v>1.9946235503435221</v>
      </c>
      <c r="P101" s="326">
        <f>FINV(B70,P71,A101)</f>
        <v>1.9316534748125087</v>
      </c>
      <c r="Q101" s="325">
        <f>FINV(B70,Q71,A101)</f>
        <v>1.887359983696931</v>
      </c>
      <c r="R101" s="326">
        <f>FINV(B70,R71,A101)</f>
        <v>1.8408716877004485</v>
      </c>
      <c r="S101" s="325">
        <f>FINV(B70,S71,A101)</f>
        <v>1.7917901164922978</v>
      </c>
      <c r="T101" s="326">
        <f>FINV(B70,T71,A101)</f>
        <v>1.760879183084111</v>
      </c>
      <c r="U101" s="325">
        <f>FINV(B70,U71,A101)</f>
        <v>1.7176474552911656</v>
      </c>
      <c r="V101" s="326">
        <f>FINV(B70,V71,A101)</f>
        <v>1.6950371566289215</v>
      </c>
      <c r="W101" s="325">
        <f>FINV(B70,W71,A101)</f>
        <v>1.6596697746597044</v>
      </c>
      <c r="X101" s="326">
        <f>FINV(B70,X71,A101)</f>
        <v>1.6374966101970436</v>
      </c>
      <c r="Y101" s="326">
        <f>FINV(B70,Y71,A101)</f>
        <v>1.6223422932902007</v>
      </c>
    </row>
    <row r="102" spans="1:25" ht="12.75">
      <c r="A102" s="349">
        <v>31</v>
      </c>
      <c r="B102" s="326">
        <f>FINV(B70,B71,A102)</f>
        <v>4.159615065583505</v>
      </c>
      <c r="C102" s="325">
        <f>FINV(B70,C71,A102)</f>
        <v>3.304817252249256</v>
      </c>
      <c r="D102" s="326">
        <f>FINV(B70,D71,A102)</f>
        <v>2.91133401761308</v>
      </c>
      <c r="E102" s="325">
        <f>FINV(B70,E71,A102)</f>
        <v>2.678667109725466</v>
      </c>
      <c r="F102" s="326">
        <f>FINV(B70,F71,A102)</f>
        <v>2.5225378228591904</v>
      </c>
      <c r="G102" s="325">
        <f>FINV(B70,G71,A102)</f>
        <v>2.4094322999123996</v>
      </c>
      <c r="H102" s="326">
        <f>FINV(B70,H71,A102)</f>
        <v>2.323171136570168</v>
      </c>
      <c r="I102" s="325">
        <f>FINV(B70,I71,A102)</f>
        <v>2.2549059297480314</v>
      </c>
      <c r="J102" s="326">
        <f>FINV(B70,J71,A102)</f>
        <v>2.1993553219938313</v>
      </c>
      <c r="K102" s="325">
        <f>FINV(B70,K71,A102)</f>
        <v>2.1531556423892164</v>
      </c>
      <c r="L102" s="326">
        <f>FINV(B70,L71,A102)</f>
        <v>2.114054378977724</v>
      </c>
      <c r="M102" s="325">
        <f>FINV(B70,M71,A102)</f>
        <v>2.080481607971997</v>
      </c>
      <c r="N102" s="326">
        <f>FINV(B70,N71,A102)</f>
        <v>2.0256937585603954</v>
      </c>
      <c r="O102" s="325">
        <f>FINV(B70,O71,A102)</f>
        <v>1.9827640058074167</v>
      </c>
      <c r="P102" s="326">
        <f>FINV(B70,P71,A102)</f>
        <v>1.9195614040985398</v>
      </c>
      <c r="Q102" s="325">
        <f>FINV(B70,Q71,A102)</f>
        <v>1.8750725599078502</v>
      </c>
      <c r="R102" s="326">
        <f>FINV(B70,R71,A102)</f>
        <v>1.8283447541395867</v>
      </c>
      <c r="S102" s="325">
        <f>FINV(B70,S71,A102)</f>
        <v>1.7789637665956781</v>
      </c>
      <c r="T102" s="326">
        <f>FINV(B70,T71,A102)</f>
        <v>1.7478347421617477</v>
      </c>
      <c r="U102" s="325">
        <f>FINV(B70,U71,A102)</f>
        <v>1.704251627937539</v>
      </c>
      <c r="V102" s="326">
        <f>FINV(B70,V71,A102)</f>
        <v>1.6814322991218535</v>
      </c>
      <c r="W102" s="325">
        <f>FINV(B70,W71,A102)</f>
        <v>1.645696469974335</v>
      </c>
      <c r="X102" s="326">
        <f>FINV(B70,X71,A102)</f>
        <v>1.6232624005171257</v>
      </c>
      <c r="Y102" s="326">
        <f>FINV(B70,Y71,A102)</f>
        <v>1.6079145350398325</v>
      </c>
    </row>
    <row r="103" spans="1:25" ht="12.75">
      <c r="A103" s="349">
        <v>32</v>
      </c>
      <c r="B103" s="326">
        <f>FINV(B70,B71,A103)</f>
        <v>4.149097408818552</v>
      </c>
      <c r="C103" s="325">
        <f>FINV(B70,C71,A103)</f>
        <v>3.2945368165421005</v>
      </c>
      <c r="D103" s="326">
        <f>FINV(B70,D71,A103)</f>
        <v>2.901119588155124</v>
      </c>
      <c r="E103" s="325">
        <f>FINV(B70,E71,A103)</f>
        <v>2.668436942588202</v>
      </c>
      <c r="F103" s="326">
        <f>FINV(B70,F71,A103)</f>
        <v>2.5122549431772843</v>
      </c>
      <c r="G103" s="325">
        <f>FINV(B70,G71,A103)</f>
        <v>2.3990796307751356</v>
      </c>
      <c r="H103" s="326">
        <f>FINV(B70,H71,A103)</f>
        <v>2.3127411873428647</v>
      </c>
      <c r="I103" s="325">
        <f>FINV(B70,I71,A103)</f>
        <v>2.2443961388808455</v>
      </c>
      <c r="J103" s="326">
        <f>FINV(B70,J71,A103)</f>
        <v>2.1887657676847807</v>
      </c>
      <c r="K103" s="325">
        <f>FINV(B70,K71,A103)</f>
        <v>2.1424878406573464</v>
      </c>
      <c r="L103" s="326">
        <f>FINV(B70,L71,A103)</f>
        <v>2.1033106205473313</v>
      </c>
      <c r="M103" s="325">
        <f>FINV(B70,M71,A103)</f>
        <v>2.0696645795012314</v>
      </c>
      <c r="N103" s="326">
        <f>FINV(B70,N71,A103)</f>
        <v>2.014738814185625</v>
      </c>
      <c r="O103" s="325">
        <f>FINV(B70,O71,A103)</f>
        <v>1.9716825681197565</v>
      </c>
      <c r="P103" s="326">
        <f>FINV(B70,P71,A103)</f>
        <v>1.9082581072769509</v>
      </c>
      <c r="Q103" s="325">
        <f>FINV(B70,Q71,A103)</f>
        <v>1.8635824000542929</v>
      </c>
      <c r="R103" s="326">
        <f>FINV(B70,R71,A103)</f>
        <v>1.8166249003730774</v>
      </c>
      <c r="S103" s="325">
        <f>FINV(B70,S71,A103)</f>
        <v>1.7669558285797957</v>
      </c>
      <c r="T103" s="326">
        <f>FINV(B70,T71,A103)</f>
        <v>1.7356162992985835</v>
      </c>
      <c r="U103" s="325">
        <f>FINV(B70,U71,A103)</f>
        <v>1.6916927878795365</v>
      </c>
      <c r="V103" s="326">
        <f>FINV(B70,V71,A103)</f>
        <v>1.668670223506068</v>
      </c>
      <c r="W103" s="325">
        <f>FINV(B70,W71,A103)</f>
        <v>1.6325747599831408</v>
      </c>
      <c r="X103" s="326">
        <f>FINV(B70,X71,A103)</f>
        <v>1.609884906444409</v>
      </c>
      <c r="Y103" s="326">
        <f>FINV(B70,Y71,A103)</f>
        <v>1.5943466705761908</v>
      </c>
    </row>
    <row r="104" spans="1:25" ht="12.75">
      <c r="A104" s="349">
        <v>33</v>
      </c>
      <c r="B104" s="326">
        <f>FINV(B70,B71,A104)</f>
        <v>4.139252453937612</v>
      </c>
      <c r="C104" s="325">
        <f>FINV(B70,C71,A104)</f>
        <v>3.284917651089147</v>
      </c>
      <c r="D104" s="326">
        <f>FINV(B70,D71,A104)</f>
        <v>2.8915635220961455</v>
      </c>
      <c r="E104" s="325">
        <f>FINV(B70,E71,A104)</f>
        <v>2.6588665007721266</v>
      </c>
      <c r="F104" s="326">
        <f>FINV(B70,F71,A104)</f>
        <v>2.50263500449664</v>
      </c>
      <c r="G104" s="325">
        <f>FINV(B70,G71,A104)</f>
        <v>2.3893938980643448</v>
      </c>
      <c r="H104" s="326">
        <f>FINV(B70,H71,A104)</f>
        <v>2.302982443750481</v>
      </c>
      <c r="I104" s="325">
        <f>FINV(B70,I71,A104)</f>
        <v>2.234561846593782</v>
      </c>
      <c r="J104" s="326">
        <f>FINV(B70,J71,A104)</f>
        <v>2.178855902642244</v>
      </c>
      <c r="K104" s="325">
        <f>FINV(B70,K71,A104)</f>
        <v>2.1325037542988374</v>
      </c>
      <c r="L104" s="326">
        <f>FINV(B70,L71,A104)</f>
        <v>2.0932544107166544</v>
      </c>
      <c r="M104" s="325">
        <f>FINV(B70,M71,A104)</f>
        <v>2.059538730320062</v>
      </c>
      <c r="N104" s="326">
        <f>FINV(B70,N71,A104)</f>
        <v>2.004481710999894</v>
      </c>
      <c r="O104" s="325">
        <f>FINV(B70,O71,A104)</f>
        <v>1.9613048888701212</v>
      </c>
      <c r="P104" s="326">
        <f>FINV(B70,P71,A104)</f>
        <v>1.8976685082804159</v>
      </c>
      <c r="Q104" s="325">
        <f>FINV(B70,Q71,A104)</f>
        <v>1.8528138763041886</v>
      </c>
      <c r="R104" s="326">
        <f>FINV(B70,R71,A104)</f>
        <v>1.8056358946601918</v>
      </c>
      <c r="S104" s="325">
        <f>FINV(B70,S71,A104)</f>
        <v>1.7556894143716875</v>
      </c>
      <c r="T104" s="326">
        <f>FINV(B70,T71,A104)</f>
        <v>1.7241465530426874</v>
      </c>
      <c r="U104" s="325">
        <f>FINV(B70,U71,A104)</f>
        <v>1.679893079530407</v>
      </c>
      <c r="V104" s="326">
        <f>FINV(B70,V71,A104)</f>
        <v>1.6566728020996129</v>
      </c>
      <c r="W104" s="325">
        <f>FINV(B70,W71,A104)</f>
        <v>1.6202261276420473</v>
      </c>
      <c r="X104" s="326">
        <f>FINV(B70,X71,A104)</f>
        <v>1.5972853935285576</v>
      </c>
      <c r="Y104" s="326">
        <f>FINV(B70,Y71,A104)</f>
        <v>1.5815598287675683</v>
      </c>
    </row>
    <row r="105" spans="1:25" ht="12.75">
      <c r="A105" s="349">
        <v>34</v>
      </c>
      <c r="B105" s="326">
        <f>FINV(B70,B71,A105)</f>
        <v>4.1300176989993</v>
      </c>
      <c r="C105" s="325">
        <f>FINV(B70,C71,A105)</f>
        <v>3.275897990723154</v>
      </c>
      <c r="D105" s="326">
        <f>FINV(B70,D71,A105)</f>
        <v>2.8826042094588455</v>
      </c>
      <c r="E105" s="325">
        <f>FINV(B70,E71,A105)</f>
        <v>2.6498940145301555</v>
      </c>
      <c r="F105" s="326">
        <f>FINV(B70,F71,A105)</f>
        <v>2.493615947173624</v>
      </c>
      <c r="G105" s="325">
        <f>FINV(B70,G71,A105)</f>
        <v>2.3803127044434085</v>
      </c>
      <c r="H105" s="326">
        <f>FINV(B70,H71,A105)</f>
        <v>2.293832160658548</v>
      </c>
      <c r="I105" s="325">
        <f>FINV(B70,I71,A105)</f>
        <v>2.225339967517777</v>
      </c>
      <c r="J105" s="326">
        <f>FINV(B70,J71,A105)</f>
        <v>2.169562316966238</v>
      </c>
      <c r="K105" s="325">
        <f>FINV(B70,K71,A105)</f>
        <v>2.1231396679825787</v>
      </c>
      <c r="L105" s="326">
        <f>FINV(B70,L71,A105)</f>
        <v>2.083821748793974</v>
      </c>
      <c r="M105" s="325">
        <f>FINV(B70,M71,A105)</f>
        <v>2.050039794171324</v>
      </c>
      <c r="N105" s="326">
        <f>FINV(B70,N71,A105)</f>
        <v>1.9948577071218336</v>
      </c>
      <c r="O105" s="325">
        <f>FINV(B70,O71,A105)</f>
        <v>1.951565816250834</v>
      </c>
      <c r="P105" s="326">
        <f>FINV(B70,P71,A105)</f>
        <v>1.8877267934663942</v>
      </c>
      <c r="Q105" s="325">
        <f>FINV(B70,Q71,A105)</f>
        <v>1.8427006710893012</v>
      </c>
      <c r="R105" s="326">
        <f>FINV(B70,R71,A105)</f>
        <v>1.7953108587572317</v>
      </c>
      <c r="S105" s="325">
        <f>FINV(B70,S71,A105)</f>
        <v>1.7450970461578632</v>
      </c>
      <c r="T105" s="326">
        <f>FINV(B70,T71,A105)</f>
        <v>1.713357645492906</v>
      </c>
      <c r="U105" s="325">
        <f>FINV(B70,U71,A105)</f>
        <v>1.6687841309621874</v>
      </c>
      <c r="V105" s="326">
        <f>FINV(B70,V71,A105)</f>
        <v>1.645371409973038</v>
      </c>
      <c r="W105" s="325">
        <f>FINV(B70,W71,A105)</f>
        <v>1.6085815856939747</v>
      </c>
      <c r="X105" s="326">
        <f>FINV(B70,X71,A105)</f>
        <v>1.5853946723793726</v>
      </c>
      <c r="Y105" s="326">
        <f>FINV(B70,Y71,A105)</f>
        <v>1.5694846931883406</v>
      </c>
    </row>
    <row r="106" spans="1:25" ht="12.75">
      <c r="A106" s="349">
        <v>35</v>
      </c>
      <c r="B106" s="326">
        <f>FINV(B70,B71,A106)</f>
        <v>4.12133814836589</v>
      </c>
      <c r="C106" s="325">
        <f>FINV(B70,C71,A106)</f>
        <v>3.267423524793161</v>
      </c>
      <c r="D106" s="326">
        <f>FINV(B70,D71,A106)</f>
        <v>2.874187489163595</v>
      </c>
      <c r="E106" s="325">
        <f>FINV(B70,E71,A106)</f>
        <v>2.641465186196066</v>
      </c>
      <c r="F106" s="326">
        <f>FINV(B70,F71,A106)</f>
        <v>2.4851432179390445</v>
      </c>
      <c r="G106" s="325">
        <f>FINV(B70,G71,A106)</f>
        <v>2.3717811964421767</v>
      </c>
      <c r="H106" s="326">
        <f>FINV(B70,H71,A106)</f>
        <v>2.2852351740025076</v>
      </c>
      <c r="I106" s="325">
        <f>FINV(B70,I71,A106)</f>
        <v>2.216675032754366</v>
      </c>
      <c r="J106" s="326">
        <f>FINV(B70,J71,A106)</f>
        <v>2.1608292502268496</v>
      </c>
      <c r="K106" s="325">
        <f>FINV(B70,K71,A106)</f>
        <v>2.1143395462842367</v>
      </c>
      <c r="L106" s="326">
        <f>FINV(B70,L71,A106)</f>
        <v>2.074956341915809</v>
      </c>
      <c r="M106" s="325">
        <f>FINV(B70,M71,A106)</f>
        <v>2.0411112381761747</v>
      </c>
      <c r="N106" s="326">
        <f>FINV(B70,N71,A106)</f>
        <v>1.9858098387759675</v>
      </c>
      <c r="O106" s="325">
        <f>FINV(B70,O71,A106)</f>
        <v>1.942408014044918</v>
      </c>
      <c r="P106" s="326">
        <f>FINV(B70,P71,A106)</f>
        <v>1.8783750231760488</v>
      </c>
      <c r="Q106" s="325">
        <f>FINV(B70,Q71,A106)</f>
        <v>1.8331843834550097</v>
      </c>
      <c r="R106" s="326">
        <f>FINV(B70,R71,A106)</f>
        <v>1.785590882936578</v>
      </c>
      <c r="S106" s="325">
        <f>FINV(B70,S71,A106)</f>
        <v>1.7351192544214546</v>
      </c>
      <c r="T106" s="326">
        <f>FINV(B70,T71,A106)</f>
        <v>1.7031897550077417</v>
      </c>
      <c r="U106" s="325">
        <f>FINV(B70,U71,A106)</f>
        <v>1.65830564272476</v>
      </c>
      <c r="V106" s="326">
        <f>FINV(B70,V71,A106)</f>
        <v>1.6347055119273648</v>
      </c>
      <c r="W106" s="325">
        <f>FINV(B70,W71,A106)</f>
        <v>1.5975802610182757</v>
      </c>
      <c r="X106" s="326">
        <f>FINV(B70,X71,A106)</f>
        <v>1.5741516815060406</v>
      </c>
      <c r="Y106" s="326">
        <f>FINV(B70,Y71,A106)</f>
        <v>1.5580600843121934</v>
      </c>
    </row>
    <row r="107" spans="1:25" ht="12.75">
      <c r="A107" s="349">
        <v>36</v>
      </c>
      <c r="B107" s="326">
        <f>FINV(B70,B71,A107)</f>
        <v>4.113165219224047</v>
      </c>
      <c r="C107" s="325">
        <f>FINV(B70,C71,A107)</f>
        <v>3.2594463061946737</v>
      </c>
      <c r="D107" s="326">
        <f>FINV(B70,D71,A107)</f>
        <v>2.866265557082313</v>
      </c>
      <c r="E107" s="325">
        <f>FINV(B70,E71,A107)</f>
        <v>2.6335320942809917</v>
      </c>
      <c r="F107" s="326">
        <f>FINV(B70,F71,A107)</f>
        <v>2.4771686690107364</v>
      </c>
      <c r="G107" s="325">
        <f>FINV(B70,G71,A107)</f>
        <v>2.36375095844111</v>
      </c>
      <c r="H107" s="326">
        <f>FINV(B70,H71,A107)</f>
        <v>2.27714278986668</v>
      </c>
      <c r="I107" s="325">
        <f>FINV(B70,I71,A107)</f>
        <v>2.208518074413333</v>
      </c>
      <c r="J107" s="326">
        <f>FINV(B70,J71,A107)</f>
        <v>2.1526074718629484</v>
      </c>
      <c r="K107" s="325">
        <f>FINV(B70,K71,A107)</f>
        <v>2.1060539103413936</v>
      </c>
      <c r="L107" s="326">
        <f>FINV(B70,L71,A107)</f>
        <v>2.0666084783275</v>
      </c>
      <c r="M107" s="325">
        <f>FINV(B70,M71,A107)</f>
        <v>2.032703133075721</v>
      </c>
      <c r="N107" s="326">
        <f>FINV(B70,N71,A107)</f>
        <v>1.9772877853259918</v>
      </c>
      <c r="O107" s="325">
        <f>FINV(B70,O71,A107)</f>
        <v>1.9337808224048394</v>
      </c>
      <c r="P107" s="326">
        <f>FINV(B70,P71,A107)</f>
        <v>1.869561986091984</v>
      </c>
      <c r="Q107" s="325">
        <f>FINV(B70,Q71,A107)</f>
        <v>1.824213381231449</v>
      </c>
      <c r="R107" s="326">
        <f>FINV(B70,R71,A107)</f>
        <v>1.7764238622399269</v>
      </c>
      <c r="S107" s="325">
        <f>FINV(B70,S71,A107)</f>
        <v>1.7257034185466562</v>
      </c>
      <c r="T107" s="326">
        <f>FINV(B70,T71,A107)</f>
        <v>1.6935899341256162</v>
      </c>
      <c r="U107" s="325">
        <f>FINV(B70,U71,A107)</f>
        <v>1.6484042223575366</v>
      </c>
      <c r="V107" s="326">
        <f>FINV(B70,V71,A107)</f>
        <v>1.6246214953937521</v>
      </c>
      <c r="W107" s="325">
        <f>FINV(B70,W71,A107)</f>
        <v>1.5871682252326118</v>
      </c>
      <c r="X107" s="326">
        <f>FINV(B70,X71,A107)</f>
        <v>1.5635023166016175</v>
      </c>
      <c r="Y107" s="326">
        <f>FINV(B70,Y71,A107)</f>
        <v>1.5472317876706598</v>
      </c>
    </row>
    <row r="108" spans="1:25" ht="12.75">
      <c r="A108" s="349">
        <v>37</v>
      </c>
      <c r="B108" s="326">
        <f>FINV(B70,B71,A108)</f>
        <v>4.105455833762232</v>
      </c>
      <c r="C108" s="325">
        <f>FINV(B70,C71,A108)</f>
        <v>3.2519238464376787</v>
      </c>
      <c r="D108" s="326">
        <f>FINV(B70,D71,A108)</f>
        <v>2.858796060585056</v>
      </c>
      <c r="E108" s="325">
        <f>FINV(B70,E71,A108)</f>
        <v>2.6260522848323715</v>
      </c>
      <c r="F108" s="326">
        <f>FINV(B70,F71,A108)</f>
        <v>2.4696496453216916</v>
      </c>
      <c r="G108" s="325">
        <f>FINV(B70,G71,A108)</f>
        <v>2.356179095600611</v>
      </c>
      <c r="H108" s="326">
        <f>FINV(B70,H71,A108)</f>
        <v>2.2695118632743982</v>
      </c>
      <c r="I108" s="325">
        <f>FINV(B70,I71,A108)</f>
        <v>2.2008257005520155</v>
      </c>
      <c r="J108" s="326">
        <f>FINV(B70,J71,A108)</f>
        <v>2.144853352598301</v>
      </c>
      <c r="K108" s="325">
        <f>FINV(B70,K71,A108)</f>
        <v>2.0982389060727975</v>
      </c>
      <c r="L108" s="326">
        <f>FINV(B70,L71,A108)</f>
        <v>2.058734092712699</v>
      </c>
      <c r="M108" s="325">
        <f>FINV(B70,M71,A108)</f>
        <v>2.024771215951402</v>
      </c>
      <c r="N108" s="326">
        <f>FINV(B70,N71,A108)</f>
        <v>1.9692469275098055</v>
      </c>
      <c r="O108" s="325">
        <f>FINV(B70,O71,A108)</f>
        <v>1.9256393124102922</v>
      </c>
      <c r="P108" s="326">
        <f>FINV(B70,P71,A108)</f>
        <v>1.8612422482227284</v>
      </c>
      <c r="Q108" s="325">
        <f>FINV(B70,Q71,A108)</f>
        <v>1.8157418370524026</v>
      </c>
      <c r="R108" s="326">
        <f>FINV(B70,R71,A108)</f>
        <v>1.7677635396269755</v>
      </c>
      <c r="S108" s="325">
        <f>FINV(B70,S71,A108)</f>
        <v>1.7168028037700847</v>
      </c>
      <c r="T108" s="326">
        <f>FINV(B70,T71,A108)</f>
        <v>1.6845111441547669</v>
      </c>
      <c r="U108" s="325">
        <f>FINV(B70,U71,A108)</f>
        <v>1.6390324159790532</v>
      </c>
      <c r="V108" s="326">
        <f>FINV(B70,V71,A108)</f>
        <v>1.6150717006051107</v>
      </c>
      <c r="W108" s="325">
        <f>FINV(B70,W71,A108)</f>
        <v>1.577297522846976</v>
      </c>
      <c r="X108" s="326">
        <f>FINV(B70,X71,A108)</f>
        <v>1.553398457542678</v>
      </c>
      <c r="Y108" s="326">
        <f>FINV(B70,Y71,A108)</f>
        <v>1.5369515802028904</v>
      </c>
    </row>
    <row r="109" spans="1:25" ht="12.75">
      <c r="A109" s="349">
        <v>38</v>
      </c>
      <c r="B109" s="326">
        <f>FINV(B70,B71,A109)</f>
        <v>4.098171661256263</v>
      </c>
      <c r="C109" s="325">
        <f>FINV(B70,C71,A109)</f>
        <v>3.2448183607831798</v>
      </c>
      <c r="D109" s="326">
        <f>FINV(B70,D71,A109)</f>
        <v>2.8517413434695333</v>
      </c>
      <c r="E109" s="325">
        <f>FINV(B70,E71,A109)</f>
        <v>2.6189880137787993</v>
      </c>
      <c r="F109" s="326">
        <f>FINV(B70,F71,A109)</f>
        <v>2.4625482234200184</v>
      </c>
      <c r="G109" s="325">
        <f>FINV(B70,G71,A109)</f>
        <v>2.3490274691377415</v>
      </c>
      <c r="H109" s="326">
        <f>FINV(B70,H71,A109)</f>
        <v>2.262304029953637</v>
      </c>
      <c r="I109" s="325">
        <f>FINV(B70,I71,A109)</f>
        <v>2.193559323659481</v>
      </c>
      <c r="J109" s="326">
        <f>FINV(B70,J71,A109)</f>
        <v>2.137528090690874</v>
      </c>
      <c r="K109" s="325">
        <f>FINV(B70,K71,A109)</f>
        <v>2.090855526906939</v>
      </c>
      <c r="L109" s="326">
        <f>FINV(B70,L71,A109)</f>
        <v>2.051293986436076</v>
      </c>
      <c r="M109" s="325">
        <f>FINV(B70,M71,A109)</f>
        <v>2.0172761082184216</v>
      </c>
      <c r="N109" s="326">
        <f>FINV(B70,N71,A109)</f>
        <v>1.9616475615538227</v>
      </c>
      <c r="O109" s="325">
        <f>FINV(B70,O71,A109)</f>
        <v>1.917943496991057</v>
      </c>
      <c r="P109" s="326">
        <f>FINV(B70,P71,A109)</f>
        <v>1.8533753589690285</v>
      </c>
      <c r="Q109" s="325">
        <f>FINV(B70,Q71,A109)</f>
        <v>1.8077289440520108</v>
      </c>
      <c r="R109" s="326">
        <f>FINV(B70,R71,A109)</f>
        <v>1.7595687050358602</v>
      </c>
      <c r="S109" s="325">
        <f>FINV(B70,S71,A109)</f>
        <v>1.708375756677948</v>
      </c>
      <c r="T109" s="326">
        <f>FINV(B70,T71,A109)</f>
        <v>1.6759114485845648</v>
      </c>
      <c r="U109" s="325">
        <f>FINV(B70,U71,A109)</f>
        <v>1.630147899046221</v>
      </c>
      <c r="V109" s="326">
        <f>FINV(B70,V71,A109)</f>
        <v>1.6060136101028388</v>
      </c>
      <c r="W109" s="325">
        <f>FINV(B70,W71,A109)</f>
        <v>1.5679253589904674</v>
      </c>
      <c r="X109" s="326">
        <f>FINV(B70,X71,A109)</f>
        <v>1.5437971550983471</v>
      </c>
      <c r="Y109" s="326">
        <f>FINV(B70,Y71,A109)</f>
        <v>1.527176416291328</v>
      </c>
    </row>
    <row r="110" spans="1:25" ht="12.75">
      <c r="A110" s="349">
        <v>39</v>
      </c>
      <c r="B110" s="326">
        <f>FINV(B70,B71,A110)</f>
        <v>4.091278481967347</v>
      </c>
      <c r="C110" s="325">
        <f>FINV(B70,C71,A110)</f>
        <v>3.238096135209558</v>
      </c>
      <c r="D110" s="326">
        <f>FINV(B70,D71,A110)</f>
        <v>2.8450678129351594</v>
      </c>
      <c r="E110" s="325">
        <f>FINV(B70,E71,A110)</f>
        <v>2.612305611794878</v>
      </c>
      <c r="F110" s="326">
        <f>FINV(B70,F71,A110)</f>
        <v>2.455830573444784</v>
      </c>
      <c r="G110" s="325">
        <f>FINV(B70,G71,A110)</f>
        <v>2.3422620552321414</v>
      </c>
      <c r="H110" s="326">
        <f>FINV(B70,H71,A110)</f>
        <v>2.255485062250215</v>
      </c>
      <c r="I110" s="325">
        <f>FINV(B70,I71,A110)</f>
        <v>2.186684513760585</v>
      </c>
      <c r="J110" s="326">
        <f>FINV(B70,J71,A110)</f>
        <v>2.1305970593940966</v>
      </c>
      <c r="K110" s="325">
        <f>FINV(B70,K71,A110)</f>
        <v>2.083868961934896</v>
      </c>
      <c r="L110" s="326">
        <f>FINV(B70,L71,A110)</f>
        <v>2.04425317354933</v>
      </c>
      <c r="M110" s="325">
        <f>FINV(B70,M71,A110)</f>
        <v>2.010182659684335</v>
      </c>
      <c r="N110" s="326">
        <f>FINV(B70,N71,A110)</f>
        <v>1.9544542398637903</v>
      </c>
      <c r="O110" s="325">
        <f>FINV(B70,O71,A110)</f>
        <v>1.9106576688376005</v>
      </c>
      <c r="P110" s="326">
        <f>FINV(B70,P71,A110)</f>
        <v>1.8459251847866578</v>
      </c>
      <c r="Q110" s="325">
        <f>FINV(B70,Q71,A110)</f>
        <v>1.8001382380619613</v>
      </c>
      <c r="R110" s="326">
        <f>FINV(B70,R71,A110)</f>
        <v>1.751802522881313</v>
      </c>
      <c r="S110" s="325">
        <f>FINV(B70,S71,A110)</f>
        <v>1.7003850295523772</v>
      </c>
      <c r="T110" s="326">
        <f>FINV(B70,T71,A110)</f>
        <v>1.667753335582736</v>
      </c>
      <c r="U110" s="325">
        <f>FINV(B70,U71,A110)</f>
        <v>1.6217127964982594</v>
      </c>
      <c r="V110" s="326">
        <f>FINV(B70,V71,A110)</f>
        <v>1.5974091677696753</v>
      </c>
      <c r="W110" s="325">
        <f>FINV(B70,W71,A110)</f>
        <v>1.5590134168676624</v>
      </c>
      <c r="X110" s="326">
        <f>FINV(B70,X71,A110)</f>
        <v>1.5346599474879121</v>
      </c>
      <c r="Y110" s="326">
        <f>FINV(B70,Y71,A110)</f>
        <v>1.517867743778818</v>
      </c>
    </row>
    <row r="111" spans="1:25" ht="12.75">
      <c r="A111" s="349">
        <v>40</v>
      </c>
      <c r="B111" s="326">
        <f>FINV(B70,B71,A111)</f>
        <v>4.084745650616139</v>
      </c>
      <c r="C111" s="325">
        <f>FINV(B70,C71,A111)</f>
        <v>3.231726992881006</v>
      </c>
      <c r="D111" s="326">
        <f>FINV(B70,D71,A111)</f>
        <v>2.8387454062029827</v>
      </c>
      <c r="E111" s="325">
        <f>FINV(B70,E71,A111)</f>
        <v>2.605974949190114</v>
      </c>
      <c r="F111" s="326">
        <f>FINV(B70,F71,A111)</f>
        <v>2.449466421578877</v>
      </c>
      <c r="G111" s="325">
        <f>FINV(B70,G71,A111)</f>
        <v>2.3358524048651823</v>
      </c>
      <c r="H111" s="326">
        <f>FINV(B70,H71,A111)</f>
        <v>2.2490243264043697</v>
      </c>
      <c r="I111" s="325">
        <f>FINV(B70,I71,A111)</f>
        <v>2.1801704532774933</v>
      </c>
      <c r="J111" s="326">
        <f>FINV(B70,J71,A111)</f>
        <v>2.124029264080617</v>
      </c>
      <c r="K111" s="325">
        <f>FINV(B70,K71,A111)</f>
        <v>2.077248046495378</v>
      </c>
      <c r="L111" s="326">
        <f>FINV(B70,L71,A111)</f>
        <v>2.037580329514461</v>
      </c>
      <c r="M111" s="325">
        <f>FINV(B70,M71,A111)</f>
        <v>2.0034593955802444</v>
      </c>
      <c r="N111" s="326">
        <f>FINV(B70,N71,A111)</f>
        <v>1.9476352151212146</v>
      </c>
      <c r="O111" s="325">
        <f>FINV(B70,O71,A111)</f>
        <v>1.9037498420668242</v>
      </c>
      <c r="P111" s="326">
        <f>FINV(B70,P71,A111)</f>
        <v>1.8388593471242412</v>
      </c>
      <c r="Q111" s="325">
        <f>FINV(B70,Q71,A111)</f>
        <v>1.7929370349199596</v>
      </c>
      <c r="R111" s="326">
        <f>FINV(B70,R71,A111)</f>
        <v>1.7444319645499138</v>
      </c>
      <c r="S111" s="325">
        <f>FINV(B70,S71,A111)</f>
        <v>1.692797210069255</v>
      </c>
      <c r="T111" s="326">
        <f>FINV(B70,T71,A111)</f>
        <v>1.6600031460480342</v>
      </c>
      <c r="U111" s="325">
        <f>FINV(B70,U71,A111)</f>
        <v>1.6136931087139157</v>
      </c>
      <c r="V111" s="326">
        <f>FINV(B70,V71,A111)</f>
        <v>1.5892242037978899</v>
      </c>
      <c r="W111" s="325">
        <f>FINV(B70,W71,A111)</f>
        <v>1.5505272813253956</v>
      </c>
      <c r="X111" s="326">
        <f>FINV(B70,X71,A111)</f>
        <v>1.5259522831489778</v>
      </c>
      <c r="Y111" s="326">
        <f>FINV(B70,Y71,A111)</f>
        <v>1.5089909261713639</v>
      </c>
    </row>
    <row r="112" spans="1:25" ht="12.75">
      <c r="A112" s="349">
        <v>41</v>
      </c>
      <c r="B112" s="326">
        <f>FINV(B70,B71,A112)</f>
        <v>4.078545641715817</v>
      </c>
      <c r="C112" s="325">
        <f>FINV(B70,C71,A112)</f>
        <v>3.2256838423455374</v>
      </c>
      <c r="D112" s="326">
        <f>FINV(B70,D71,A112)</f>
        <v>2.8327471389590864</v>
      </c>
      <c r="E112" s="325">
        <f>FINV(B70,E71,A112)</f>
        <v>2.5999689829233477</v>
      </c>
      <c r="F112" s="326">
        <f>FINV(B70,F71,A112)</f>
        <v>2.443428594999009</v>
      </c>
      <c r="G112" s="325">
        <f>FINV(B70,G71,A112)</f>
        <v>2.3297711865344404</v>
      </c>
      <c r="H112" s="326">
        <f>FINV(B70,H71,A112)</f>
        <v>2.242894323061889</v>
      </c>
      <c r="I112" s="325">
        <f>FINV(B70,I71,A112)</f>
        <v>2.17398947545571</v>
      </c>
      <c r="J112" s="326">
        <f>FINV(B70,J71,A112)</f>
        <v>2.117796875795066</v>
      </c>
      <c r="K112" s="325">
        <f>FINV(B70,K71,A112)</f>
        <v>2.070964796892887</v>
      </c>
      <c r="L112" s="326">
        <f>FINV(B70,L71,A112)</f>
        <v>2.031247324301858</v>
      </c>
      <c r="M112" s="325">
        <f>FINV(B70,M71,A112)</f>
        <v>1.997078048183194</v>
      </c>
      <c r="N112" s="326">
        <f>FINV(B70,N71,A112)</f>
        <v>1.941161969339523</v>
      </c>
      <c r="O112" s="325">
        <f>FINV(B70,O71,A112)</f>
        <v>1.897191279146074</v>
      </c>
      <c r="P112" s="326">
        <f>FINV(B70,P71,A112)</f>
        <v>1.832148748286567</v>
      </c>
      <c r="Q112" s="325">
        <f>FINV(B70,Q71,A112)</f>
        <v>1.786095951750247</v>
      </c>
      <c r="R112" s="326">
        <f>FINV(B70,R71,A112)</f>
        <v>1.7374273272214351</v>
      </c>
      <c r="S112" s="325">
        <f>FINV(B70,S71,A112)</f>
        <v>1.6855822376291343</v>
      </c>
      <c r="T112" s="326">
        <f>FINV(B70,T71,A112)</f>
        <v>1.6526305884731727</v>
      </c>
      <c r="U112" s="325">
        <f>FINV(B70,U71,A112)</f>
        <v>1.6060582245021453</v>
      </c>
      <c r="V112" s="326">
        <f>FINV(B70,V71,A112)</f>
        <v>1.5814279467964965</v>
      </c>
      <c r="W112" s="325">
        <f>FINV(B70,W71,A112)</f>
        <v>1.542435949709676</v>
      </c>
      <c r="X112" s="326">
        <f>FINV(B70,X71,A112)</f>
        <v>1.5176430308841602</v>
      </c>
      <c r="Y112" s="326">
        <f>FINV(B70,Y71,A112)</f>
        <v>1.5005147523330415</v>
      </c>
    </row>
    <row r="113" spans="1:25" ht="12.75">
      <c r="A113" s="349">
        <v>42</v>
      </c>
      <c r="B113" s="326">
        <f>FINV(B70,B71,A113)</f>
        <v>4.07265366255918</v>
      </c>
      <c r="C113" s="325">
        <f>FINV(B70,C71,A113)</f>
        <v>3.2199422932261133</v>
      </c>
      <c r="D113" s="326">
        <f>FINV(B70,D71,A113)</f>
        <v>2.827048721349062</v>
      </c>
      <c r="E113" s="325">
        <f>FINV(B70,E71,A113)</f>
        <v>2.5942633714115617</v>
      </c>
      <c r="F113" s="326">
        <f>FINV(B70,F71,A113)</f>
        <v>2.4376926349267514</v>
      </c>
      <c r="G113" s="325">
        <f>FINV(B70,G71,A113)</f>
        <v>2.3239937973846896</v>
      </c>
      <c r="H113" s="326">
        <f>FINV(B70,H71,A113)</f>
        <v>2.2370702965024343</v>
      </c>
      <c r="I113" s="325">
        <f>FINV(B70,I71,A113)</f>
        <v>2.1681166717858877</v>
      </c>
      <c r="J113" s="326">
        <f>FINV(B70,J71,A113)</f>
        <v>2.111874837716437</v>
      </c>
      <c r="K113" s="325">
        <f>FINV(B70,K71,A113)</f>
        <v>2.064994014592826</v>
      </c>
      <c r="L113" s="326">
        <f>FINV(B70,L71,A113)</f>
        <v>2.0252288251706245</v>
      </c>
      <c r="M113" s="325">
        <f>FINV(B70,M71,A113)</f>
        <v>1.9910131583052606</v>
      </c>
      <c r="N113" s="326">
        <f>FINV(B70,N71,A113)</f>
        <v>1.9350088131018972</v>
      </c>
      <c r="O113" s="325">
        <f>FINV(B70,O71,A113)</f>
        <v>1.8909560882547658</v>
      </c>
      <c r="P113" s="326">
        <f>FINV(B70,P71,A113)</f>
        <v>1.8257671572420842</v>
      </c>
      <c r="Q113" s="325">
        <f>FINV(B70,Q71,A113)</f>
        <v>1.7795884993329163</v>
      </c>
      <c r="R113" s="326">
        <f>FINV(B70,R71,A113)</f>
        <v>1.7307618240502123</v>
      </c>
      <c r="S113" s="325">
        <f>FINV(B70,S71,A113)</f>
        <v>1.6787129913149141</v>
      </c>
      <c r="T113" s="326">
        <f>FINV(B70,T71,A113)</f>
        <v>1.6456083255882414</v>
      </c>
      <c r="U113" s="325">
        <f>FINV(B70,U71,A113)</f>
        <v>1.5987805060676172</v>
      </c>
      <c r="V113" s="326">
        <f>FINV(B70,V71,A113)</f>
        <v>1.573992607965092</v>
      </c>
      <c r="W113" s="325">
        <f>FINV(B70,W71,A113)</f>
        <v>1.5347114149200842</v>
      </c>
      <c r="X113" s="326">
        <f>FINV(B70,X71,A113)</f>
        <v>1.509704062279218</v>
      </c>
      <c r="Y113" s="326">
        <f>FINV(B70,Y71,A113)</f>
        <v>1.4924110185462376</v>
      </c>
    </row>
    <row r="114" spans="1:25" ht="12.75">
      <c r="A114" s="349">
        <v>43</v>
      </c>
      <c r="B114" s="326">
        <f>FINV(B70,B71,A114)</f>
        <v>4.067047322403443</v>
      </c>
      <c r="C114" s="325">
        <f>FINV(B70,C71,A114)</f>
        <v>3.2144803279329164</v>
      </c>
      <c r="D114" s="326">
        <f>FINV(B70,D71,A114)</f>
        <v>2.8216282300265494</v>
      </c>
      <c r="E114" s="325">
        <f>FINV(B70,E71,A114)</f>
        <v>2.588836145589492</v>
      </c>
      <c r="F114" s="326">
        <f>FINV(B70,F71,A114)</f>
        <v>2.432236466184902</v>
      </c>
      <c r="G114" s="325">
        <f>FINV(B70,G71,A114)</f>
        <v>2.318498031107975</v>
      </c>
      <c r="H114" s="326">
        <f>FINV(B70,H71,A114)</f>
        <v>2.23152990089105</v>
      </c>
      <c r="I114" s="325">
        <f>FINV(B70,I71,A114)</f>
        <v>2.1625295566839275</v>
      </c>
      <c r="J114" s="326">
        <f>FINV(B70,J71,A114)</f>
        <v>2.1062405283726555</v>
      </c>
      <c r="K114" s="325">
        <f>FINV(B70,K71,A114)</f>
        <v>2.0593129480843597</v>
      </c>
      <c r="L114" s="326">
        <f>FINV(B70,L71,A114)</f>
        <v>2.0195019572918547</v>
      </c>
      <c r="M114" s="325">
        <f>FINV(B70,M71,A114)</f>
        <v>1.9852417347834201</v>
      </c>
      <c r="N114" s="326">
        <f>FINV(B70,N71,A114)</f>
        <v>1.9291525430700083</v>
      </c>
      <c r="O114" s="325">
        <f>FINV(B70,O71,A114)</f>
        <v>1.8850208791372007</v>
      </c>
      <c r="P114" s="326">
        <f>FINV(B70,P71,A114)</f>
        <v>1.819690875556423</v>
      </c>
      <c r="Q114" s="325">
        <f>FINV(B70,Q71,A114)</f>
        <v>1.7733907335277959</v>
      </c>
      <c r="R114" s="326">
        <f>FINV(B70,R71,A114)</f>
        <v>1.7244112336369515</v>
      </c>
      <c r="S114" s="325">
        <f>FINV(B70,S71,A114)</f>
        <v>1.6721649373725747</v>
      </c>
      <c r="T114" s="326">
        <f>FINV(B70,T71,A114)</f>
        <v>1.6389116206620606</v>
      </c>
      <c r="U114" s="325">
        <f>FINV(B70,U71,A114)</f>
        <v>1.5918349338040052</v>
      </c>
      <c r="V114" s="326">
        <f>FINV(B70,V71,A114)</f>
        <v>1.5668930251754096</v>
      </c>
      <c r="W114" s="325">
        <f>FINV(B70,W71,A114)</f>
        <v>1.527328308486973</v>
      </c>
      <c r="X114" s="326">
        <f>FINV(B70,X71,A114)</f>
        <v>1.5021098942113862</v>
      </c>
      <c r="Y114" s="326">
        <f>FINV(B70,Y71,A114)</f>
        <v>1.4846541705711718</v>
      </c>
    </row>
    <row r="115" spans="1:25" ht="12.75">
      <c r="A115" s="349">
        <v>44</v>
      </c>
      <c r="B115" s="326">
        <f>FINV(B70,B71,A115)</f>
        <v>4.061706348559834</v>
      </c>
      <c r="C115" s="325">
        <f>FINV(B70,C71,A115)</f>
        <v>3.2092780200989974</v>
      </c>
      <c r="D115" s="326">
        <f>FINV(B70,D71,A115)</f>
        <v>2.816465826940343</v>
      </c>
      <c r="E115" s="325">
        <f>FINV(B70,E71,A115)</f>
        <v>2.5836674268683657</v>
      </c>
      <c r="F115" s="326">
        <f>FINV(B70,F71,A115)</f>
        <v>2.4270401138648845</v>
      </c>
      <c r="G115" s="325">
        <f>FINV(B70,G71,A115)</f>
        <v>2.3132637931773665</v>
      </c>
      <c r="H115" s="326">
        <f>FINV(B70,H71,A115)</f>
        <v>2.2262529140777945</v>
      </c>
      <c r="I115" s="325">
        <f>FINV(B70,I71,A115)</f>
        <v>2.1572077799194487</v>
      </c>
      <c r="J115" s="326">
        <f>FINV(B70,J71,A115)</f>
        <v>2.100873472786641</v>
      </c>
      <c r="K115" s="325">
        <f>FINV(B70,K71,A115)</f>
        <v>2.0539010028408615</v>
      </c>
      <c r="L115" s="326">
        <f>FINV(B70,L71,A115)</f>
        <v>2.014046012619782</v>
      </c>
      <c r="M115" s="325">
        <f>FINV(B70,M71,A115)</f>
        <v>1.9797429623527742</v>
      </c>
      <c r="N115" s="326">
        <f>FINV(B70,N71,A115)</f>
        <v>1.9235721481088608</v>
      </c>
      <c r="O115" s="325">
        <f>FINV(B70,O71,A115)</f>
        <v>1.8793644677618002</v>
      </c>
      <c r="P115" s="326">
        <f>FINV(B70,P71,A115)</f>
        <v>1.8138984315534081</v>
      </c>
      <c r="Q115" s="325">
        <f>FINV(B70,Q71,A115)</f>
        <v>1.7674809559941185</v>
      </c>
      <c r="R115" s="326">
        <f>FINV(B70,R71,A115)</f>
        <v>1.7183535990022625</v>
      </c>
      <c r="S115" s="325">
        <f>FINV(B70,S71,A115)</f>
        <v>1.6659158263976526</v>
      </c>
      <c r="T115" s="326">
        <f>FINV(B70,T71,A115)</f>
        <v>1.632518033627052</v>
      </c>
      <c r="U115" s="325">
        <f>FINV(B70,U71,A115)</f>
        <v>1.585198801059617</v>
      </c>
      <c r="V115" s="326">
        <f>FINV(B70,V71,A115)</f>
        <v>1.5601063570956057</v>
      </c>
      <c r="W115" s="325">
        <f>FINV(B70,W71,A115)</f>
        <v>1.5202635937906175</v>
      </c>
      <c r="X115" s="326">
        <f>FINV(B70,X71,A115)</f>
        <v>1.4948373815565192</v>
      </c>
      <c r="Y115" s="326">
        <f>FINV(B70,Y71,A115)</f>
        <v>1.4772209960499612</v>
      </c>
    </row>
    <row r="116" spans="1:25" ht="12.75">
      <c r="A116" s="349">
        <v>45</v>
      </c>
      <c r="B116" s="326">
        <f>FINV(B70,B71,A116)</f>
        <v>4.056612341810489</v>
      </c>
      <c r="C116" s="325">
        <f>FINV(B70,C71,A116)</f>
        <v>3.2043172921638767</v>
      </c>
      <c r="D116" s="326">
        <f>FINV(B70,D71,A116)</f>
        <v>2.8115435172729697</v>
      </c>
      <c r="E116" s="325">
        <f>FINV(B70,E71,A116)</f>
        <v>2.5787391843767127</v>
      </c>
      <c r="F116" s="326">
        <f>FINV(B70,F71,A116)</f>
        <v>2.422085459454335</v>
      </c>
      <c r="G116" s="325">
        <f>FINV(B70,G71,A116)</f>
        <v>2.308272855728661</v>
      </c>
      <c r="H116" s="326">
        <f>FINV(B70,H71,A116)</f>
        <v>2.2212209912279732</v>
      </c>
      <c r="I116" s="325">
        <f>FINV(B70,I71,A116)</f>
        <v>2.1521328790455607</v>
      </c>
      <c r="J116" s="326">
        <f>FINV(B70,J71,A116)</f>
        <v>2.0957550937804044</v>
      </c>
      <c r="K116" s="325">
        <f>FINV(B70,K71,A116)</f>
        <v>2.0487394915811574</v>
      </c>
      <c r="L116" s="326">
        <f>FINV(B70,L71,A116)</f>
        <v>2.0088421991928627</v>
      </c>
      <c r="M116" s="325">
        <f>FINV(B70,M71,A116)</f>
        <v>1.9744979500665263</v>
      </c>
      <c r="N116" s="326">
        <f>FINV(B70,N71,A116)</f>
        <v>1.91824855615936</v>
      </c>
      <c r="O116" s="325">
        <f>FINV(B70,O71,A116)</f>
        <v>1.873967621893112</v>
      </c>
      <c r="P116" s="326">
        <f>FINV(B70,P71,A116)</f>
        <v>1.8083703258597428</v>
      </c>
      <c r="Q116" s="325">
        <f>FINV(B70,Q71,A116)</f>
        <v>1.761839456249192</v>
      </c>
      <c r="R116" s="326">
        <f>FINV(B70,R71,A116)</f>
        <v>1.7125689680797036</v>
      </c>
      <c r="S116" s="325">
        <f>FINV(B70,S71,A116)</f>
        <v>1.6599454322200633</v>
      </c>
      <c r="T116" s="326">
        <f>FINV(B70,T71,A116)</f>
        <v>1.6264071590063898</v>
      </c>
      <c r="U116" s="325">
        <f>FINV(B70,U71,A116)</f>
        <v>1.5788514508366833</v>
      </c>
      <c r="V116" s="326">
        <f>FINV(B70,V71,A116)</f>
        <v>1.5536118193097916</v>
      </c>
      <c r="W116" s="325">
        <f>FINV(B70,W71,A116)</f>
        <v>1.513496301364102</v>
      </c>
      <c r="X116" s="326">
        <f>FINV(B70,X71,A116)</f>
        <v>1.4878654520299355</v>
      </c>
      <c r="Y116" s="326">
        <f>FINV(B70,Y71,A116)</f>
        <v>1.4700903591346912</v>
      </c>
    </row>
    <row r="117" spans="1:25" ht="12.75">
      <c r="A117" s="349">
        <v>46</v>
      </c>
      <c r="B117" s="326">
        <f>FINV(B70,B71,A117)</f>
        <v>4.051748564942567</v>
      </c>
      <c r="C117" s="325">
        <f>FINV(B70,C71,A117)</f>
        <v>3.1995817059015774</v>
      </c>
      <c r="D117" s="326">
        <f>FINV(B70,D71,A117)</f>
        <v>2.806844940317701</v>
      </c>
      <c r="E117" s="325">
        <f>FINV(B70,E71,A117)</f>
        <v>2.57403502524818</v>
      </c>
      <c r="F117" s="326">
        <f>FINV(B70,F71,A117)</f>
        <v>2.417356030161046</v>
      </c>
      <c r="G117" s="325">
        <f>FINV(B70,G71,A117)</f>
        <v>2.3035086457980816</v>
      </c>
      <c r="H117" s="326">
        <f>FINV(B70,H71,A117)</f>
        <v>2.216417451964136</v>
      </c>
      <c r="I117" s="325">
        <f>FINV(B70,I71,A117)</f>
        <v>2.1472880654865607</v>
      </c>
      <c r="J117" s="326">
        <f>FINV(B70,J71,A117)</f>
        <v>2.090868497071857</v>
      </c>
      <c r="K117" s="325">
        <f>FINV(B70,K71,A117)</f>
        <v>2.043811418446209</v>
      </c>
      <c r="L117" s="326">
        <f>FINV(B70,L71,A117)</f>
        <v>2.0038734244618386</v>
      </c>
      <c r="M117" s="325">
        <f>FINV(B70,M71,A117)</f>
        <v>1.9694895138439446</v>
      </c>
      <c r="N117" s="326">
        <f>FINV(B70,N71,A117)</f>
        <v>1.913164415413302</v>
      </c>
      <c r="O117" s="325">
        <f>FINV(B70,O71,A117)</f>
        <v>1.8688128411095213</v>
      </c>
      <c r="P117" s="326">
        <f>FINV(B70,P71,A117)</f>
        <v>1.8030888096105162</v>
      </c>
      <c r="Q117" s="325">
        <f>FINV(B70,Q71,A117)</f>
        <v>1.7564482885455819</v>
      </c>
      <c r="R117" s="326">
        <f>FINV(B70,R71,A117)</f>
        <v>1.7070391691856917</v>
      </c>
      <c r="S117" s="325">
        <f>FINV(B70,S71,A117)</f>
        <v>1.654235325923751</v>
      </c>
      <c r="T117" s="326">
        <f>FINV(B70,T71,A117)</f>
        <v>1.6205603990676827</v>
      </c>
      <c r="U117" s="325">
        <f>FINV(B70,U71,A117)</f>
        <v>1.5727740478326728</v>
      </c>
      <c r="V117" s="326">
        <f>FINV(B70,V71,A117)</f>
        <v>1.547390455834079</v>
      </c>
      <c r="W117" s="325">
        <f>FINV(B70,W71,A117)</f>
        <v>1.5070072996699042</v>
      </c>
      <c r="X117" s="326">
        <f>FINV(B70,X71,A117)</f>
        <v>1.4811748765461306</v>
      </c>
      <c r="Y117" s="326">
        <f>FINV(B70,Y71,A117)</f>
        <v>1.4632429704555232</v>
      </c>
    </row>
    <row r="118" spans="1:25" ht="12.75">
      <c r="A118" s="349">
        <v>47</v>
      </c>
      <c r="B118" s="326">
        <f>FINV(B70,B71,A118)</f>
        <v>4.047099759285029</v>
      </c>
      <c r="C118" s="325">
        <f>FINV(B70,C71,A118)</f>
        <v>3.1950562807867318</v>
      </c>
      <c r="D118" s="326">
        <f>FINV(B70,D71,A118)</f>
        <v>2.8023551881836575</v>
      </c>
      <c r="E118" s="325">
        <f>FINV(B70,E71,A118)</f>
        <v>2.569540012825885</v>
      </c>
      <c r="F118" s="326">
        <f>FINV(B70,F71,A118)</f>
        <v>2.412836816280203</v>
      </c>
      <c r="G118" s="325">
        <f>FINV(B70,G71,A118)</f>
        <v>2.2989560617394256</v>
      </c>
      <c r="H118" s="326">
        <f>FINV(B70,H71,A118)</f>
        <v>2.211827095820863</v>
      </c>
      <c r="I118" s="325">
        <f>FINV(B70,I71,A118)</f>
        <v>2.142658039064229</v>
      </c>
      <c r="J118" s="326">
        <f>FINV(B70,J71,A118)</f>
        <v>2.0861982849261853</v>
      </c>
      <c r="K118" s="325">
        <f>FINV(B70,K71,A118)</f>
        <v>2.039101291836671</v>
      </c>
      <c r="L118" s="326">
        <f>FINV(B70,L71,A118)</f>
        <v>1.9991241073752142</v>
      </c>
      <c r="M118" s="325">
        <f>FINV(B70,M71,A118)</f>
        <v>1.9647019878633887</v>
      </c>
      <c r="N118" s="326">
        <f>FINV(B70,N71,A118)</f>
        <v>1.9083039044849763</v>
      </c>
      <c r="O118" s="325">
        <f>FINV(B70,O71,A118)</f>
        <v>1.8638841659428755</v>
      </c>
      <c r="P118" s="326">
        <f>FINV(B70,P71,A118)</f>
        <v>1.7980376919673438</v>
      </c>
      <c r="Q118" s="325">
        <f>FINV(B70,Q71,A118)</f>
        <v>1.7512910781965783</v>
      </c>
      <c r="R118" s="326">
        <f>FINV(B70,R71,A118)</f>
        <v>1.701747616077642</v>
      </c>
      <c r="S118" s="325">
        <f>FINV(B70,S71,A118)</f>
        <v>1.6487686795938945</v>
      </c>
      <c r="T118" s="326">
        <f>FINV(B70,T71,A118)</f>
        <v>1.6149607667853805</v>
      </c>
      <c r="U118" s="325">
        <f>FINV(B70,U71,A118)</f>
        <v>1.5669493803931727</v>
      </c>
      <c r="V118" s="326">
        <f>FINV(B70,V71,A118)</f>
        <v>1.541424940592608</v>
      </c>
      <c r="W118" s="325">
        <f>FINV(B70,W71,A118)</f>
        <v>1.5007790959049703</v>
      </c>
      <c r="X118" s="326">
        <f>FINV(B70,X71,A118)</f>
        <v>1.4747480696459578</v>
      </c>
      <c r="Y118" s="326">
        <f>FINV(B70,Y71,A118)</f>
        <v>1.4566611874169055</v>
      </c>
    </row>
    <row r="119" spans="1:25" ht="12.75">
      <c r="A119" s="349">
        <v>48</v>
      </c>
      <c r="B119" s="326">
        <f>FINV(B70,B71,A119)</f>
        <v>4.0426519850155564</v>
      </c>
      <c r="C119" s="325">
        <f>FINV(B70,C71,A119)</f>
        <v>3.1907273359779094</v>
      </c>
      <c r="D119" s="326">
        <f>FINV(B70,D71,A119)</f>
        <v>2.7980606481033465</v>
      </c>
      <c r="E119" s="325">
        <f>FINV(B70,E71,A119)</f>
        <v>2.565240508543604</v>
      </c>
      <c r="F119" s="326">
        <f>FINV(B70,F71,A119)</f>
        <v>2.4085141123459</v>
      </c>
      <c r="G119" s="325">
        <f>FINV(B70,G71,A119)</f>
        <v>2.2946013135417536</v>
      </c>
      <c r="H119" s="326">
        <f>FINV(B70,H71,A119)</f>
        <v>2.2074360417149803</v>
      </c>
      <c r="I119" s="325">
        <f>FINV(B70,I71,A119)</f>
        <v>2.138228826647919</v>
      </c>
      <c r="J119" s="326">
        <f>FINV(B70,J71,A119)</f>
        <v>2.081730394031605</v>
      </c>
      <c r="K119" s="325">
        <f>FINV(B70,K71,A119)</f>
        <v>2.0345949615667074</v>
      </c>
      <c r="L119" s="326">
        <f>FINV(B70,L71,A119)</f>
        <v>1.9945800148649169</v>
      </c>
      <c r="M119" s="325">
        <f>FINV(B70,M71,A119)</f>
        <v>1.9601210604317916</v>
      </c>
      <c r="N119" s="326">
        <f>FINV(B70,N71,A119)</f>
        <v>1.9036525671915077</v>
      </c>
      <c r="O119" s="325">
        <f>FINV(B70,O71,A119)</f>
        <v>1.8591670117362784</v>
      </c>
      <c r="P119" s="326">
        <f>FINV(B70,P71,A119)</f>
        <v>1.79320217252236</v>
      </c>
      <c r="Q119" s="325">
        <f>FINV(B70,Q71,A119)</f>
        <v>1.7463528529071706</v>
      </c>
      <c r="R119" s="326">
        <f>FINV(B70,R71,A119)</f>
        <v>1.696679138140897</v>
      </c>
      <c r="S119" s="325">
        <f>FINV(B70,S71,A119)</f>
        <v>1.6435300953165406</v>
      </c>
      <c r="T119" s="326">
        <f>FINV(B70,T71,A119)</f>
        <v>1.6095927141277802</v>
      </c>
      <c r="U119" s="325">
        <f>FINV(B70,U71,A119)</f>
        <v>1.5613616878802974</v>
      </c>
      <c r="V119" s="326">
        <f>FINV(B70,V71,A119)</f>
        <v>1.5356994043517762</v>
      </c>
      <c r="W119" s="325">
        <f>FINV(B70,W71,A119)</f>
        <v>1.4947956623249699</v>
      </c>
      <c r="X119" s="326">
        <f>FINV(B70,X71,A119)</f>
        <v>1.4685689154773187</v>
      </c>
      <c r="Y119" s="326">
        <f>FINV(B70,Y71,A119)</f>
        <v>1.4503288398095524</v>
      </c>
    </row>
    <row r="120" spans="1:25" ht="12.75">
      <c r="A120" s="349">
        <v>49</v>
      </c>
      <c r="B120" s="326">
        <f>FINV(B70,B71,A120)</f>
        <v>4.03839248172299</v>
      </c>
      <c r="C120" s="325">
        <f>FINV(B70,C71,A120)</f>
        <v>3.1865823524129144</v>
      </c>
      <c r="D120" s="326">
        <f>FINV(B70,D71,A120)</f>
        <v>2.7939488648358726</v>
      </c>
      <c r="E120" s="325">
        <f>FINV(B70,E71,A120)</f>
        <v>2.561124033964261</v>
      </c>
      <c r="F120" s="326">
        <f>FINV(B70,F71,A120)</f>
        <v>2.4043753785314</v>
      </c>
      <c r="G120" s="325">
        <f>FINV(B70,G71,A120)</f>
        <v>2.2904317834960475</v>
      </c>
      <c r="H120" s="326">
        <f>FINV(B70,H71,A120)</f>
        <v>2.203231587863522</v>
      </c>
      <c r="I120" s="325">
        <f>FINV(B70,I71,A120)</f>
        <v>2.133987641346274</v>
      </c>
      <c r="J120" s="326">
        <f>FINV(B70,J71,A120)</f>
        <v>2.0774519540037764</v>
      </c>
      <c r="K120" s="325">
        <f>FINV(B70,K71,A120)</f>
        <v>2.0302794767266157</v>
      </c>
      <c r="L120" s="326">
        <f>FINV(B70,L71,A120)</f>
        <v>1.9902281191138456</v>
      </c>
      <c r="M120" s="325">
        <f>FINV(B70,M71,A120)</f>
        <v>1.9557336307026207</v>
      </c>
      <c r="N120" s="326">
        <f>FINV(B70,N71,A120)</f>
        <v>1.8991971682974365</v>
      </c>
      <c r="O120" s="325">
        <f>FINV(B70,O71,A120)</f>
        <v>1.8546480235621021</v>
      </c>
      <c r="P120" s="326">
        <f>FINV(B70,P71,A120)</f>
        <v>1.788568694909825</v>
      </c>
      <c r="Q120" s="325">
        <f>FINV(B70,Q71,A120)</f>
        <v>1.7416198954182338</v>
      </c>
      <c r="R120" s="326">
        <f>FINV(B70,R71,A120)</f>
        <v>1.6918198319982696</v>
      </c>
      <c r="S120" s="325">
        <f>FINV(B70,S71,A120)</f>
        <v>1.6385054557108214</v>
      </c>
      <c r="T120" s="326">
        <f>FINV(B70,T71,A120)</f>
        <v>1.6044419819405715</v>
      </c>
      <c r="U120" s="325">
        <f>FINV(B70,U71,A120)</f>
        <v>1.555996509719208</v>
      </c>
      <c r="V120" s="326">
        <f>FINV(B70,V71,A120)</f>
        <v>1.5301992833706186</v>
      </c>
      <c r="W120" s="325">
        <f>FINV(B70,W71,A120)</f>
        <v>1.4890422843382964</v>
      </c>
      <c r="X120" s="326">
        <f>FINV(B70,X71,A120)</f>
        <v>1.4626226155769562</v>
      </c>
      <c r="Y120" s="326">
        <f>FINV(B70,Y71,A120)</f>
        <v>1.4442310775435447</v>
      </c>
    </row>
    <row r="121" spans="1:25" ht="12.75">
      <c r="A121" s="349">
        <v>50</v>
      </c>
      <c r="B121" s="326">
        <f>FINV(B70,B71,A121)</f>
        <v>4.034309546288998</v>
      </c>
      <c r="C121" s="325">
        <f>FINV(B70,C71,A121)</f>
        <v>3.1826098520920123</v>
      </c>
      <c r="D121" s="326">
        <f>FINV(B70,D71,A121)</f>
        <v>2.7900084202407918</v>
      </c>
      <c r="E121" s="325">
        <f>FINV(B70,E71,A121)</f>
        <v>2.5571791500405583</v>
      </c>
      <c r="F121" s="326">
        <f>FINV(B70,F71,A121)</f>
        <v>2.4004091193501873</v>
      </c>
      <c r="G121" s="325">
        <f>FINV(B70,G71,A121)</f>
        <v>2.2864359042486377</v>
      </c>
      <c r="H121" s="326">
        <f>FINV(B70,H71,A121)</f>
        <v>2.1992020891743076</v>
      </c>
      <c r="I121" s="325">
        <f>FINV(B70,I71,A121)</f>
        <v>2.1299227592530316</v>
      </c>
      <c r="J121" s="326">
        <f>FINV(B70,J71,A121)</f>
        <v>2.073351163520197</v>
      </c>
      <c r="K121" s="325">
        <f>FINV(B70,K71,A121)</f>
        <v>2.0261429612452035</v>
      </c>
      <c r="L121" s="326">
        <f>FINV(B70,L71,A121)</f>
        <v>1.9860564725870562</v>
      </c>
      <c r="M121" s="325">
        <f>FINV(B70,M71,A121)</f>
        <v>1.9515276832157054</v>
      </c>
      <c r="N121" s="326">
        <f>FINV(B70,N71,A121)</f>
        <v>1.8949255671826855</v>
      </c>
      <c r="O121" s="325">
        <f>FINV(B70,O71,A121)</f>
        <v>1.850314949147958</v>
      </c>
      <c r="P121" s="326">
        <f>FINV(B70,P71,A121)</f>
        <v>1.784124818555859</v>
      </c>
      <c r="Q121" s="325">
        <f>FINV(B70,Q71,A121)</f>
        <v>1.7370796143822833</v>
      </c>
      <c r="R121" s="326">
        <f>FINV(B70,R71,A121)</f>
        <v>1.6871569314483277</v>
      </c>
      <c r="S121" s="325">
        <f>FINV(B70,S71,A121)</f>
        <v>1.6336817928875336</v>
      </c>
      <c r="T121" s="326">
        <f>FINV(B70,T71,A121)</f>
        <v>1.5994954683143847</v>
      </c>
      <c r="U121" s="325">
        <f>FINV(B70,U71,A121)</f>
        <v>1.5508405530007594</v>
      </c>
      <c r="V121" s="326">
        <f>FINV(B70,V71,A121)</f>
        <v>1.5249111866418583</v>
      </c>
      <c r="W121" s="325">
        <f>FINV(B70,W71,A121)</f>
        <v>1.4835054243720394</v>
      </c>
      <c r="X121" s="326">
        <f>FINV(B70,X71,A121)</f>
        <v>1.4568955524060234</v>
      </c>
      <c r="Y121" s="326">
        <f>FINV(B70,Y71,A121)</f>
        <v>1.4383542340436426</v>
      </c>
    </row>
    <row r="122" spans="1:25" ht="12.75">
      <c r="A122" s="349">
        <v>55</v>
      </c>
      <c r="B122" s="326">
        <f>FINV(B70,B71,A122)</f>
        <v>4.0161954376707065</v>
      </c>
      <c r="C122" s="325">
        <f>FINV(B70,C71,A122)</f>
        <v>3.1649933958175627</v>
      </c>
      <c r="D122" s="326">
        <f>FINV(B70,D71,A122)</f>
        <v>2.7725369246380627</v>
      </c>
      <c r="E122" s="325">
        <f>FINV(B70,E71,A122)</f>
        <v>2.5396886349670442</v>
      </c>
      <c r="F122" s="326">
        <f>FINV(B70,F71,A122)</f>
        <v>2.3828233013589246</v>
      </c>
      <c r="G122" s="325">
        <f>FINV(B70,G71,A122)</f>
        <v>2.2687174670574057</v>
      </c>
      <c r="H122" s="326">
        <f>FINV(B70,H71,A122)</f>
        <v>2.1813327738563935</v>
      </c>
      <c r="I122" s="325">
        <f>FINV(B70,I71,A122)</f>
        <v>2.11189436235077</v>
      </c>
      <c r="J122" s="326">
        <f>FINV(B70,J71,A122)</f>
        <v>2.0551610714303026</v>
      </c>
      <c r="K122" s="325">
        <f>FINV(B70,K71,A122)</f>
        <v>2.0077917694369356</v>
      </c>
      <c r="L122" s="326">
        <f>FINV(B70,L71,A122)</f>
        <v>1.9675466474050043</v>
      </c>
      <c r="M122" s="325">
        <f>FINV(B70,M71,A122)</f>
        <v>1.9328627765496043</v>
      </c>
      <c r="N122" s="326">
        <f>FINV(B70,N71,A122)</f>
        <v>1.8759632985580028</v>
      </c>
      <c r="O122" s="325">
        <f>FINV(B70,O71,A122)</f>
        <v>1.8310736317268597</v>
      </c>
      <c r="P122" s="326">
        <f>FINV(B70,P71,A122)</f>
        <v>1.7643790055146478</v>
      </c>
      <c r="Q122" s="325">
        <f>FINV(B70,Q71,A122)</f>
        <v>1.7168932434237458</v>
      </c>
      <c r="R122" s="326">
        <f>FINV(B70,R71,A122)</f>
        <v>1.6664079675811765</v>
      </c>
      <c r="S122" s="325">
        <f>FINV(B70,S71,A122)</f>
        <v>1.612191282413547</v>
      </c>
      <c r="T122" s="326">
        <f>FINV(B70,T71,A122)</f>
        <v>1.577435118189789</v>
      </c>
      <c r="U122" s="325">
        <f>FINV(B70,U71,A122)</f>
        <v>1.527801988087075</v>
      </c>
      <c r="V122" s="326">
        <f>FINV(B70,V71,A122)</f>
        <v>1.5012508449885624</v>
      </c>
      <c r="W122" s="325">
        <f>FINV(B70,W71,A122)</f>
        <v>1.458664148377843</v>
      </c>
      <c r="X122" s="326">
        <f>FINV(B70,X71,A122)</f>
        <v>1.4311414902089088</v>
      </c>
      <c r="Y122" s="326">
        <f>FINV(B70,Y71,A122)</f>
        <v>1.4118749332670868</v>
      </c>
    </row>
    <row r="123" spans="1:25" ht="12.75">
      <c r="A123" s="349">
        <v>60</v>
      </c>
      <c r="B123" s="326">
        <f>FINV(B70,B71,A123)</f>
        <v>4.001191306005559</v>
      </c>
      <c r="C123" s="325">
        <f>FINV(B70,C71,A123)</f>
        <v>3.1504113106311245</v>
      </c>
      <c r="D123" s="326">
        <f>FINV(B70,D71,A123)</f>
        <v>2.75807831561693</v>
      </c>
      <c r="E123" s="325">
        <f>FINV(B70,E71,A123)</f>
        <v>2.5252151020454807</v>
      </c>
      <c r="F123" s="326">
        <f>FINV(B70,F71,A123)</f>
        <v>2.3682702350312512</v>
      </c>
      <c r="G123" s="325">
        <f>FINV(B70,G71,A123)</f>
        <v>2.254053009925463</v>
      </c>
      <c r="H123" s="326">
        <f>FINV(B70,H71,A123)</f>
        <v>2.166541158935626</v>
      </c>
      <c r="I123" s="325">
        <f>FINV(B70,I71,A123)</f>
        <v>2.0969683125866103</v>
      </c>
      <c r="J123" s="326">
        <f>FINV(B70,J71,A123)</f>
        <v>2.0400980555011525</v>
      </c>
      <c r="K123" s="325">
        <f>FINV(B70,K71,A123)</f>
        <v>1.9925919967005123</v>
      </c>
      <c r="L123" s="326">
        <f>FINV(B70,L71,A123)</f>
        <v>1.9522119386243024</v>
      </c>
      <c r="M123" s="325">
        <f>FINV(B70,M71,A123)</f>
        <v>1.9173958992469347</v>
      </c>
      <c r="N123" s="326">
        <f>FINV(B70,N71,A123)</f>
        <v>1.8602423066554574</v>
      </c>
      <c r="O123" s="325">
        <f>FINV(B70,O71,A123)</f>
        <v>1.8151133601283926</v>
      </c>
      <c r="P123" s="326">
        <f>FINV(B70,P71,A123)</f>
        <v>1.7479841333606263</v>
      </c>
      <c r="Q123" s="325">
        <f>FINV(B70,Q71,A123)</f>
        <v>1.7001166970268247</v>
      </c>
      <c r="R123" s="326">
        <f>FINV(B70,R71,A123)</f>
        <v>1.6491410102248345</v>
      </c>
      <c r="S123" s="325">
        <f>FINV(B70,S71,A123)</f>
        <v>1.5942725225320293</v>
      </c>
      <c r="T123" s="326">
        <f>FINV(B70,T71,A123)</f>
        <v>1.5590110859291468</v>
      </c>
      <c r="U123" s="325">
        <f>FINV(B70,U71,A123)</f>
        <v>1.508501083568158</v>
      </c>
      <c r="V123" s="326">
        <f>FINV(B70,V71,A123)</f>
        <v>1.4813859228195287</v>
      </c>
      <c r="W123" s="325">
        <f>FINV(B70,W71,A123)</f>
        <v>1.4377125472377998</v>
      </c>
      <c r="X123" s="326">
        <f>FINV(B70,X71,A123)</f>
        <v>1.4093349553009338</v>
      </c>
      <c r="Y123" s="326">
        <f>FINV(B70,Y71,A123)</f>
        <v>1.389379011976922</v>
      </c>
    </row>
    <row r="124" spans="1:25" ht="12.75">
      <c r="A124" s="349">
        <v>65</v>
      </c>
      <c r="B124" s="326">
        <f>FINV(B70,B71,A124)</f>
        <v>3.9885597384451827</v>
      </c>
      <c r="C124" s="325">
        <f>FINV(B70,C71,A124)</f>
        <v>3.1381419350193376</v>
      </c>
      <c r="D124" s="326">
        <f>FINV(B70,D71,A124)</f>
        <v>2.745915295316429</v>
      </c>
      <c r="E124" s="325">
        <f>FINV(B70,E71,A124)</f>
        <v>2.513040096137905</v>
      </c>
      <c r="F124" s="326">
        <f>FINV(B70,F71,A124)</f>
        <v>2.356027821121823</v>
      </c>
      <c r="G124" s="325">
        <f>FINV(B70,G71,A124)</f>
        <v>2.2417157157946015</v>
      </c>
      <c r="H124" s="326">
        <f>FINV(B70,H71,A124)</f>
        <v>2.1540952304676004</v>
      </c>
      <c r="I124" s="325">
        <f>FINV(B70,I71,A124)</f>
        <v>2.084407270719688</v>
      </c>
      <c r="J124" s="326">
        <f>FINV(B70,J71,A124)</f>
        <v>2.0274194981775056</v>
      </c>
      <c r="K124" s="325">
        <f>FINV(B70,K71,A124)</f>
        <v>1.9797958876796011</v>
      </c>
      <c r="L124" s="326">
        <f>FINV(B70,L71,A124)</f>
        <v>1.9392996421964734</v>
      </c>
      <c r="M124" s="325">
        <f>FINV(B70,M71,A124)</f>
        <v>1.9043696107757588</v>
      </c>
      <c r="N124" s="326">
        <f>FINV(B70,N71,A124)</f>
        <v>1.8469963392800408</v>
      </c>
      <c r="O124" s="325">
        <f>FINV(B70,O71,A124)</f>
        <v>1.8016599287377786</v>
      </c>
      <c r="P124" s="326">
        <f>FINV(B70,P71,A124)</f>
        <v>1.7341523678203496</v>
      </c>
      <c r="Q124" s="325">
        <f>FINV(B70,Q71,A124)</f>
        <v>1.6859510237266084</v>
      </c>
      <c r="R124" s="326">
        <f>FINV(B70,R71,A124)</f>
        <v>1.6345439622697495</v>
      </c>
      <c r="S124" s="325">
        <f>FINV(B70,S71,A124)</f>
        <v>1.5790978706463696</v>
      </c>
      <c r="T124" s="326">
        <f>FINV(B70,T71,A124)</f>
        <v>1.543385157089776</v>
      </c>
      <c r="U124" s="325">
        <f>FINV(B70,U71,A124)</f>
        <v>1.4920841434134626</v>
      </c>
      <c r="V124" s="326">
        <f>FINV(B70,V71,A124)</f>
        <v>1.4644545855000715</v>
      </c>
      <c r="W124" s="325">
        <f>FINV(B70,W71,A124)</f>
        <v>1.4197766631761435</v>
      </c>
      <c r="X124" s="326">
        <f>FINV(B70,X71,A124)</f>
        <v>1.3905952110141921</v>
      </c>
      <c r="Y124" s="326">
        <f>FINV(B70,Y71,A124)</f>
        <v>1.369981602747719</v>
      </c>
    </row>
    <row r="125" spans="1:25" ht="12.75">
      <c r="A125" s="349">
        <v>70</v>
      </c>
      <c r="B125" s="326">
        <f>FINV(B70,B71,A125)</f>
        <v>3.9777792894923394</v>
      </c>
      <c r="C125" s="325">
        <f>FINV(B70,C71,A125)</f>
        <v>3.127675601006789</v>
      </c>
      <c r="D125" s="326">
        <f>FINV(B70,D71,A125)</f>
        <v>2.7355414765138706</v>
      </c>
      <c r="E125" s="325">
        <f>FINV(B70,E71,A125)</f>
        <v>2.502656463461241</v>
      </c>
      <c r="F125" s="326">
        <f>FINV(B70,F71,A125)</f>
        <v>2.3455863256880303</v>
      </c>
      <c r="G125" s="325">
        <f>FINV(B70,G71,A125)</f>
        <v>2.23119241985082</v>
      </c>
      <c r="H125" s="326">
        <f>FINV(B70,H71,A125)</f>
        <v>2.1434780444084893</v>
      </c>
      <c r="I125" s="325">
        <f>FINV(B70,I71,A125)</f>
        <v>2.073690400977598</v>
      </c>
      <c r="J125" s="326">
        <f>FINV(B70,J71,A125)</f>
        <v>2.0166006900235036</v>
      </c>
      <c r="K125" s="325">
        <f>FINV(B70,K71,A125)</f>
        <v>1.9688749480577492</v>
      </c>
      <c r="L125" s="326">
        <f>FINV(B70,L71,A125)</f>
        <v>1.9282776053972666</v>
      </c>
      <c r="M125" s="325">
        <f>FINV(B70,M71,A125)</f>
        <v>1.8932482452917423</v>
      </c>
      <c r="N125" s="326">
        <f>FINV(B70,N71,A125)</f>
        <v>1.8356831658203352</v>
      </c>
      <c r="O125" s="325">
        <f>FINV(B70,O71,A125)</f>
        <v>1.7901651444704574</v>
      </c>
      <c r="P125" s="326">
        <f>FINV(B70,P71,A125)</f>
        <v>1.7223252252861432</v>
      </c>
      <c r="Q125" s="325">
        <f>FINV(B70,Q71,A125)</f>
        <v>1.673829267418152</v>
      </c>
      <c r="R125" s="326">
        <f>FINV(B70,R71,A125)</f>
        <v>1.62203975164925</v>
      </c>
      <c r="S125" s="325">
        <f>FINV(B70,S71,A125)</f>
        <v>1.5660781494448264</v>
      </c>
      <c r="T125" s="326">
        <f>FINV(B70,T71,A125)</f>
        <v>1.5299597969109353</v>
      </c>
      <c r="U125" s="325">
        <f>FINV(B70,U71,A125)</f>
        <v>1.4779412546393016</v>
      </c>
      <c r="V125" s="326">
        <f>FINV(B70,V71,A125)</f>
        <v>1.4498403217095435</v>
      </c>
      <c r="W125" s="325">
        <f>FINV(B70,W71,A125)</f>
        <v>1.4042300508752494</v>
      </c>
      <c r="X125" s="326">
        <f>FINV(B70,X71,A125)</f>
        <v>1.3742902336612972</v>
      </c>
      <c r="Y125" s="326">
        <f>FINV(B70,Y71,A125)</f>
        <v>1.3530472979655852</v>
      </c>
    </row>
    <row r="126" spans="1:25" ht="12.75">
      <c r="A126" s="349">
        <v>75</v>
      </c>
      <c r="B126" s="326">
        <f>FINV(B70,B71,A126)</f>
        <v>3.968470871576848</v>
      </c>
      <c r="C126" s="325">
        <f>FINV(B70,C71,A126)</f>
        <v>3.118642128053448</v>
      </c>
      <c r="D126" s="326">
        <f>FINV(B70,D71,A126)</f>
        <v>2.726589184665796</v>
      </c>
      <c r="E126" s="325">
        <f>FINV(B70,E71,A126)</f>
        <v>2.4936960035767175</v>
      </c>
      <c r="F126" s="326">
        <f>FINV(B70,F71,A126)</f>
        <v>2.336575649140248</v>
      </c>
      <c r="G126" s="325">
        <f>FINV(B70,G71,A126)</f>
        <v>2.222110487329754</v>
      </c>
      <c r="H126" s="326">
        <f>FINV(B70,H71,A126)</f>
        <v>2.1343141509917674</v>
      </c>
      <c r="I126" s="325">
        <f>FINV(B70,I71,A126)</f>
        <v>2.0644393426777254</v>
      </c>
      <c r="J126" s="326">
        <f>FINV(B70,J71,A126)</f>
        <v>2.0072603625337715</v>
      </c>
      <c r="K126" s="325">
        <f>FINV(B70,K71,A126)</f>
        <v>1.9594450588902692</v>
      </c>
      <c r="L126" s="326">
        <f>FINV(B70,L71,A126)</f>
        <v>1.9187589457329173</v>
      </c>
      <c r="M126" s="325">
        <f>FINV(B70,M71,A126)</f>
        <v>1.8836422589039206</v>
      </c>
      <c r="N126" s="326">
        <f>FINV(B70,N71,A126)</f>
        <v>1.825908246551978</v>
      </c>
      <c r="O126" s="325">
        <f>FINV(B70,O71,A126)</f>
        <v>1.7802299125828456</v>
      </c>
      <c r="P126" s="326">
        <f>FINV(B70,P71,A126)</f>
        <v>1.7120956919311947</v>
      </c>
      <c r="Q126" s="325">
        <f>FINV(B70,Q71,A126)</f>
        <v>1.663337840937368</v>
      </c>
      <c r="R126" s="326">
        <f>FINV(B70,R71,A126)</f>
        <v>1.6112068742957582</v>
      </c>
      <c r="S126" s="325">
        <f>FINV(B70,S71,A126)</f>
        <v>1.5547822656043118</v>
      </c>
      <c r="T126" s="326">
        <f>FINV(B70,T71,A126)</f>
        <v>1.5182972283696534</v>
      </c>
      <c r="U126" s="325">
        <f>FINV(B70,U71,A126)</f>
        <v>1.4656245951677822</v>
      </c>
      <c r="V126" s="326">
        <f>FINV(B70,V71,A126)</f>
        <v>1.4370898865151438</v>
      </c>
      <c r="W126" s="325">
        <f>FINV(B70,W71,A126)</f>
        <v>1.390611213380656</v>
      </c>
      <c r="X126" s="326">
        <f>FINV(B70,X71,A126)</f>
        <v>1.3599538674219445</v>
      </c>
      <c r="Y126" s="326">
        <f>FINV(B70,Y71,A126)</f>
        <v>1.338107126970392</v>
      </c>
    </row>
    <row r="127" spans="1:25" ht="12.75">
      <c r="A127" s="349">
        <v>80</v>
      </c>
      <c r="B127" s="326">
        <f>FINV(B70,B71,A127)</f>
        <v>3.960352282854622</v>
      </c>
      <c r="C127" s="325">
        <f>FINV(B70,C71,A127)</f>
        <v>3.110766166127501</v>
      </c>
      <c r="D127" s="326">
        <f>FINV(B70,D71,A127)</f>
        <v>2.71878501276436</v>
      </c>
      <c r="E127" s="325">
        <f>FINV(B70,E71,A127)</f>
        <v>2.4858849378090984</v>
      </c>
      <c r="F127" s="326">
        <f>FINV(B70,F71,A127)</f>
        <v>2.3287205874187995</v>
      </c>
      <c r="G127" s="325">
        <f>FINV(B70,G71,A127)</f>
        <v>2.2141927955532275</v>
      </c>
      <c r="H127" s="326">
        <f>FINV(B70,H71,A127)</f>
        <v>2.126324283003302</v>
      </c>
      <c r="I127" s="325">
        <f>FINV(B70,I71,A127)</f>
        <v>2.0563726116259398</v>
      </c>
      <c r="J127" s="326">
        <f>FINV(B70,J71,A127)</f>
        <v>1.9991148057966739</v>
      </c>
      <c r="K127" s="325">
        <f>FINV(B70,K71,A127)</f>
        <v>1.9512203223012468</v>
      </c>
      <c r="L127" s="326">
        <f>FINV(B70,L71,A127)</f>
        <v>1.9104556384555287</v>
      </c>
      <c r="M127" s="325">
        <f>FINV(B70,M71,A127)</f>
        <v>1.8752615734860174</v>
      </c>
      <c r="N127" s="326">
        <f>FINV(B70,N71,A127)</f>
        <v>1.8173776376903432</v>
      </c>
      <c r="O127" s="325">
        <f>FINV(B70,O71,A127)</f>
        <v>1.771556744596928</v>
      </c>
      <c r="P127" s="326">
        <f>FINV(B70,P71,A127)</f>
        <v>1.7031600840545087</v>
      </c>
      <c r="Q127" s="325">
        <f>FINV(B70,Q71,A127)</f>
        <v>1.6541678806243452</v>
      </c>
      <c r="R127" s="326">
        <f>FINV(B70,R71,A127)</f>
        <v>1.6017301752822481</v>
      </c>
      <c r="S127" s="325">
        <f>FINV(B70,S71,A127)</f>
        <v>1.5448873741392481</v>
      </c>
      <c r="T127" s="326">
        <f>FINV(B70,T71,A127)</f>
        <v>1.5080691830536233</v>
      </c>
      <c r="U127" s="325">
        <f>FINV(B70,U71,A127)</f>
        <v>1.4547976472933688</v>
      </c>
      <c r="V127" s="326">
        <f>FINV(B70,V71,A127)</f>
        <v>1.4258622531796585</v>
      </c>
      <c r="W127" s="325">
        <f>FINV(B70,W71,A127)</f>
        <v>1.378572187630267</v>
      </c>
      <c r="X127" s="326">
        <f>FINV(B70,X71,A127)</f>
        <v>1.3472342089115297</v>
      </c>
      <c r="Y127" s="326">
        <f>FINV(B70,Y71,A127)</f>
        <v>1.324806814019094</v>
      </c>
    </row>
    <row r="128" spans="1:25" ht="12.75">
      <c r="A128" s="349">
        <v>100</v>
      </c>
      <c r="B128" s="326">
        <f>FINV(B70,B71,A128)</f>
        <v>3.936142779070231</v>
      </c>
      <c r="C128" s="325">
        <f>FINV(B70,C71,A128)</f>
        <v>3.0872958927949448</v>
      </c>
      <c r="D128" s="326">
        <f>FINV(B70,D71,A128)</f>
        <v>2.695534261337393</v>
      </c>
      <c r="E128" s="325">
        <f>FINV(B70,E71,A128)</f>
        <v>2.462614925970291</v>
      </c>
      <c r="F128" s="326">
        <f>FINV(B70,F71,A128)</f>
        <v>2.3053182400038326</v>
      </c>
      <c r="G128" s="325">
        <f>FINV(B70,G71,A128)</f>
        <v>2.190600940492306</v>
      </c>
      <c r="H128" s="326">
        <f>FINV(B70,H71,A128)</f>
        <v>2.102513294905286</v>
      </c>
      <c r="I128" s="325">
        <f>FINV(B70,I71,A128)</f>
        <v>2.0323275919129857</v>
      </c>
      <c r="J128" s="326">
        <f>FINV(B70,J71,A128)</f>
        <v>1.9748291981945263</v>
      </c>
      <c r="K128" s="325">
        <f>FINV(B70,K71,A128)</f>
        <v>1.9266924888188064</v>
      </c>
      <c r="L128" s="326">
        <f>FINV(B70,L71,A128)</f>
        <v>1.885686914800515</v>
      </c>
      <c r="M128" s="325">
        <f>FINV(B70,M71,A128)</f>
        <v>1.8502551142531027</v>
      </c>
      <c r="N128" s="326">
        <f>FINV(B70,N71,A128)</f>
        <v>1.791909158039958</v>
      </c>
      <c r="O128" s="325">
        <f>FINV(B70,O71,A128)</f>
        <v>1.7456472320292087</v>
      </c>
      <c r="P128" s="326">
        <f>FINV(B70,P71,A128)</f>
        <v>1.6764342506593928</v>
      </c>
      <c r="Q128" s="325">
        <f>FINV(B70,Q71,A128)</f>
        <v>1.626708112976531</v>
      </c>
      <c r="R128" s="326">
        <f>FINV(B70,R71,A128)</f>
        <v>1.5733023495837388</v>
      </c>
      <c r="S128" s="325">
        <f>FINV(B70,S71,A128)</f>
        <v>1.5151252725212738</v>
      </c>
      <c r="T128" s="326">
        <f>FINV(B70,T71,A128)</f>
        <v>1.477231314356478</v>
      </c>
      <c r="U128" s="325">
        <f>FINV(B70,U71,A128)</f>
        <v>1.4219944990991844</v>
      </c>
      <c r="V128" s="326">
        <f>FINV(B70,V71,A128)</f>
        <v>1.3917195520542913</v>
      </c>
      <c r="W128" s="325">
        <f>FINV(B70,W71,A128)</f>
        <v>1.3416479703003317</v>
      </c>
      <c r="X128" s="326">
        <f>FINV(B70,X71,A128)</f>
        <v>1.307895468460866</v>
      </c>
      <c r="Y128" s="326">
        <f>FINV(B70,Y71,A128)</f>
        <v>1.2833404273997497</v>
      </c>
    </row>
    <row r="129" spans="1:25" ht="12.75">
      <c r="A129" s="349">
        <v>125</v>
      </c>
      <c r="B129" s="326">
        <f>FINV(B70,B71,A129)</f>
        <v>3.9169321388887255</v>
      </c>
      <c r="C129" s="325">
        <f>FINV(B70,C71,A129)</f>
        <v>3.068688537341437</v>
      </c>
      <c r="D129" s="326">
        <f>FINV(B70,D71,A129)</f>
        <v>2.6771069975812765</v>
      </c>
      <c r="E129" s="325">
        <f>FINV(B70,E71,A129)</f>
        <v>2.4441736905470073</v>
      </c>
      <c r="F129" s="326">
        <f>FINV(B70,F71,A129)</f>
        <v>2.286770717693847</v>
      </c>
      <c r="G129" s="325">
        <f>FINV(B70,G71,A129)</f>
        <v>2.171900006324286</v>
      </c>
      <c r="H129" s="326">
        <f>FINV(B70,H71,A129)</f>
        <v>2.08363414570762</v>
      </c>
      <c r="I129" s="325">
        <f>FINV(B70,I71,A129)</f>
        <v>2.013257398714922</v>
      </c>
      <c r="J129" s="326">
        <f>FINV(B70,J71,A129)</f>
        <v>1.9555619479293638</v>
      </c>
      <c r="K129" s="325">
        <f>FINV(B70,K71,A129)</f>
        <v>1.9072262133683222</v>
      </c>
      <c r="L129" s="326">
        <f>FINV(B70,L71,A129)</f>
        <v>1.8660221137424418</v>
      </c>
      <c r="M129" s="325">
        <f>FINV(B70,M71,A129)</f>
        <v>1.8303938154592236</v>
      </c>
      <c r="N129" s="326">
        <f>FINV(B70,N71,A129)</f>
        <v>1.771664374204987</v>
      </c>
      <c r="O129" s="325">
        <f>FINV(B70,O71,A129)</f>
        <v>1.725034401248032</v>
      </c>
      <c r="P129" s="326">
        <f>FINV(B70,P71,A129)</f>
        <v>1.655134989781438</v>
      </c>
      <c r="Q129" s="325">
        <f>FINV(B70,Q71,A129)</f>
        <v>1.6047857322173291</v>
      </c>
      <c r="R129" s="326">
        <f>FINV(B70,R71,A129)</f>
        <v>1.5505489891657995</v>
      </c>
      <c r="S129" s="325">
        <f>FINV(B70,S71,A129)</f>
        <v>1.4912083938187402</v>
      </c>
      <c r="T129" s="326">
        <f>FINV(B70,T71,A129)</f>
        <v>1.4523597301259943</v>
      </c>
      <c r="U129" s="325">
        <f>FINV(B70,U71,A129)</f>
        <v>1.3953362023353155</v>
      </c>
      <c r="V129" s="326">
        <f>FINV(B70,V71,A129)</f>
        <v>1.3638082998645058</v>
      </c>
      <c r="W129" s="325">
        <f>FINV(B70,W71,A129)</f>
        <v>1.3110294348149463</v>
      </c>
      <c r="X129" s="326">
        <f>FINV(B70,X71,A129)</f>
        <v>1.2747907707308173</v>
      </c>
      <c r="Y129" s="326">
        <f>FINV(B70,Y71,A129)</f>
        <v>1.2479187823233304</v>
      </c>
    </row>
    <row r="130" spans="1:25" ht="12.75">
      <c r="A130" s="349">
        <v>150</v>
      </c>
      <c r="B130" s="326">
        <f>FINV(B70,B71,A130)</f>
        <v>3.904201745374806</v>
      </c>
      <c r="C130" s="325">
        <f>FINV(B70,C71,A130)</f>
        <v>3.056366295183544</v>
      </c>
      <c r="D130" s="326">
        <f>FINV(B70,D71,A130)</f>
        <v>2.6649069798935017</v>
      </c>
      <c r="E130" s="325">
        <f>FINV(B70,E71,A130)</f>
        <v>2.4319650564685666</v>
      </c>
      <c r="F130" s="326">
        <f>FINV(B70,F71,A130)</f>
        <v>2.274490995974994</v>
      </c>
      <c r="G130" s="325">
        <f>FINV(B70,G71,A130)</f>
        <v>2.1595170862367343</v>
      </c>
      <c r="H130" s="326">
        <f>FINV(B70,H71,A130)</f>
        <v>2.071130933365053</v>
      </c>
      <c r="I130" s="325">
        <f>FINV(B70,I71,A130)</f>
        <v>2.0006248750195628</v>
      </c>
      <c r="J130" s="326">
        <f>FINV(B70,J71,A130)</f>
        <v>1.9427957056400267</v>
      </c>
      <c r="K130" s="325">
        <f>FINV(B70,K71,A130)</f>
        <v>1.8943245947595115</v>
      </c>
      <c r="L130" s="326">
        <f>FINV(B70,L71,A130)</f>
        <v>1.8529851488975702</v>
      </c>
      <c r="M130" s="325">
        <f>FINV(B70,M71,A130)</f>
        <v>1.8172225886639728</v>
      </c>
      <c r="N130" s="326">
        <f>FINV(B70,N71,A130)</f>
        <v>1.7582302762151736</v>
      </c>
      <c r="O130" s="325">
        <f>FINV(B70,O71,A130)</f>
        <v>1.7113469616031471</v>
      </c>
      <c r="P130" s="326">
        <f>FINV(B70,P71,A130)</f>
        <v>1.6409722460187615</v>
      </c>
      <c r="Q130" s="325">
        <f>FINV(B70,Q71,A130)</f>
        <v>1.5901882514190402</v>
      </c>
      <c r="R130" s="326">
        <f>FINV(B70,R71,A130)</f>
        <v>1.5353666455140158</v>
      </c>
      <c r="S130" s="325">
        <f>FINV(B70,S71,A130)</f>
        <v>1.4751966393322706</v>
      </c>
      <c r="T130" s="326">
        <f>FINV(B70,T71,A130)</f>
        <v>1.4356575008722423</v>
      </c>
      <c r="U130" s="325">
        <f>FINV(B70,U71,A130)</f>
        <v>1.3773150366993532</v>
      </c>
      <c r="V130" s="326">
        <f>FINV(B70,V71,A130)</f>
        <v>1.3448390591305879</v>
      </c>
      <c r="W130" s="325">
        <f>FINV(B70,W71,A130)</f>
        <v>1.2899355739441263</v>
      </c>
      <c r="X130" s="326">
        <f>FINV(B70,X71,A130)</f>
        <v>1.2516369316087932</v>
      </c>
      <c r="Y130" s="326">
        <f>FINV(B70,Y71,A130)</f>
        <v>1.2227304905162026</v>
      </c>
    </row>
    <row r="131" spans="1:25" ht="12.75">
      <c r="A131" s="349">
        <v>200</v>
      </c>
      <c r="B131" s="326">
        <f>FINV(B70,B71,A131)</f>
        <v>3.8883745352245995</v>
      </c>
      <c r="C131" s="325">
        <f>FINV(B70,C71,A131)</f>
        <v>3.041055791169036</v>
      </c>
      <c r="D131" s="326">
        <f>FINV(B70,D71,A131)</f>
        <v>2.6497516564266306</v>
      </c>
      <c r="E131" s="325">
        <f>FINV(B70,E71,A131)</f>
        <v>2.4167997270085912</v>
      </c>
      <c r="F131" s="326">
        <f>FINV(B70,F71,A131)</f>
        <v>2.259236526359424</v>
      </c>
      <c r="G131" s="325">
        <f>FINV(B70,G71,A131)</f>
        <v>2.144132548152065</v>
      </c>
      <c r="H131" s="326">
        <f>FINV(B70,H71,A131)</f>
        <v>2.0555943172327904</v>
      </c>
      <c r="I131" s="325">
        <f>FINV(B70,I71,A131)</f>
        <v>1.984924364881115</v>
      </c>
      <c r="J131" s="326">
        <f>FINV(B70,J71,A131)</f>
        <v>1.9269253243299072</v>
      </c>
      <c r="K131" s="325">
        <f>FINV(B70,K71,A131)</f>
        <v>1.878281859666585</v>
      </c>
      <c r="L131" s="326">
        <f>FINV(B70,L71,A131)</f>
        <v>1.8367697337854438</v>
      </c>
      <c r="M131" s="325">
        <f>FINV(B70,M71,A131)</f>
        <v>1.8008355237371978</v>
      </c>
      <c r="N131" s="326">
        <f>FINV(B70,N71,A131)</f>
        <v>1.741506128898374</v>
      </c>
      <c r="O131" s="325">
        <f>FINV(B70,O71,A131)</f>
        <v>1.6942966828050663</v>
      </c>
      <c r="P131" s="326">
        <f>FINV(B70,P71,A131)</f>
        <v>1.6233066643649372</v>
      </c>
      <c r="Q131" s="325">
        <f>FINV(B70,Q71,A131)</f>
        <v>1.571955821057617</v>
      </c>
      <c r="R131" s="326">
        <f>FINV(B70,R71,A131)</f>
        <v>1.5163651337174207</v>
      </c>
      <c r="S131" s="325">
        <f>FINV(B70,S71,A131)</f>
        <v>1.4550907400435</v>
      </c>
      <c r="T131" s="326">
        <f>FINV(B70,T71,A131)</f>
        <v>1.4146187988380752</v>
      </c>
      <c r="U131" s="325">
        <f>FINV(B70,U71,A131)</f>
        <v>1.354456448236637</v>
      </c>
      <c r="V131" s="326">
        <f>FINV(B70,V71,A131)</f>
        <v>1.3206374585407645</v>
      </c>
      <c r="W131" s="325">
        <f>FINV(B70,W71,A131)</f>
        <v>1.262597815789472</v>
      </c>
      <c r="X131" s="326">
        <f>FINV(B70,X71,A131)</f>
        <v>1.2210524430126348</v>
      </c>
      <c r="Y131" s="326">
        <f>FINV(B70,Y71,A131)</f>
        <v>1.1886821120151452</v>
      </c>
    </row>
    <row r="132" spans="1:25" ht="12.75">
      <c r="A132" s="349">
        <v>400</v>
      </c>
      <c r="B132" s="326">
        <f>FINV(B70,B71,A132)</f>
        <v>3.8648110435117644</v>
      </c>
      <c r="C132" s="325">
        <f>FINV(B70,C71,A132)</f>
        <v>3.0182807445363977</v>
      </c>
      <c r="D132" s="326">
        <f>FINV(B70,D71,A132)</f>
        <v>2.6272143044097422</v>
      </c>
      <c r="E132" s="325">
        <f>FINV(B70,E71,A132)</f>
        <v>2.3942489116572645</v>
      </c>
      <c r="F132" s="326">
        <f>FINV(B70,F71,A132)</f>
        <v>2.236551365558233</v>
      </c>
      <c r="G132" s="325">
        <f>FINV(B70,G71,A132)</f>
        <v>2.1212499821071686</v>
      </c>
      <c r="H132" s="326">
        <f>FINV(B70,H71,A132)</f>
        <v>2.0324799600243546</v>
      </c>
      <c r="I132" s="325">
        <f>FINV(B70,I71,A132)</f>
        <v>1.9615593212698492</v>
      </c>
      <c r="J132" s="326">
        <f>FINV(B70,J71,A132)</f>
        <v>1.9032996050631161</v>
      </c>
      <c r="K132" s="325">
        <f>FINV(B70,K71,A132)</f>
        <v>1.8543908324767897</v>
      </c>
      <c r="L132" s="326">
        <f>FINV(B70,L71,A132)</f>
        <v>1.8126120940750456</v>
      </c>
      <c r="M132" s="325">
        <f>FINV(B70,M71,A132)</f>
        <v>1.776412078908045</v>
      </c>
      <c r="N132" s="326">
        <f>FINV(B70,N71,A132)</f>
        <v>1.716558440389424</v>
      </c>
      <c r="O132" s="325">
        <f>FINV(B70,O71,A132)</f>
        <v>1.6688389077042576</v>
      </c>
      <c r="P132" s="326">
        <f>FINV(B70,P71,A132)</f>
        <v>1.596878611966186</v>
      </c>
      <c r="Q132" s="325">
        <f>FINV(B70,Q71,A132)</f>
        <v>1.5446243192357834</v>
      </c>
      <c r="R132" s="326">
        <f>FINV(B70,R71,A132)</f>
        <v>1.4877921843106328</v>
      </c>
      <c r="S132" s="325">
        <f>FINV(B70,S71,A132)</f>
        <v>1.4247005451017523</v>
      </c>
      <c r="T132" s="326">
        <f>FINV(B70,T71,A132)</f>
        <v>1.3826584782129552</v>
      </c>
      <c r="U132" s="325">
        <f>FINV(B70,U71,A132)</f>
        <v>1.3193252677464464</v>
      </c>
      <c r="V132" s="326">
        <f>FINV(B70,V71,A132)</f>
        <v>1.2830596245060324</v>
      </c>
      <c r="W132" s="325">
        <f>FINV(B70,W71,A132)</f>
        <v>1.2188535165277532</v>
      </c>
      <c r="X132" s="326">
        <f>FINV(B70,X71,A132)</f>
        <v>1.1699944146639867</v>
      </c>
      <c r="Y132" s="326">
        <f>FINV(B70,Y71,A132)</f>
        <v>1.1281455477901803</v>
      </c>
    </row>
    <row r="133" spans="1:25" ht="12.75">
      <c r="A133" s="349">
        <v>1000</v>
      </c>
      <c r="B133" s="326">
        <f>FINV(B70,B71,A133)</f>
        <v>3.850774492721655</v>
      </c>
      <c r="C133" s="325">
        <f>FINV(B70,C71,A133)</f>
        <v>3.0047246356193966</v>
      </c>
      <c r="D133" s="326">
        <f>FINV(B70,D71,A133)</f>
        <v>2.613803603940009</v>
      </c>
      <c r="E133" s="325">
        <f>FINV(B70,E71,A133)</f>
        <v>2.3808309959119214</v>
      </c>
      <c r="F133" s="326">
        <f>FINV(B70,F71,A133)</f>
        <v>2.2230524467196915</v>
      </c>
      <c r="G133" s="325">
        <f>FINV(B70,G71,A133)</f>
        <v>2.1076312505325348</v>
      </c>
      <c r="H133" s="326">
        <f>FINV(B70,H71,A133)</f>
        <v>2.0187199733107697</v>
      </c>
      <c r="I133" s="325">
        <f>FINV(B70,I71,A133)</f>
        <v>1.9476460413974408</v>
      </c>
      <c r="J133" s="326">
        <f>FINV(B70,J71,A133)</f>
        <v>1.8892264185482128</v>
      </c>
      <c r="K133" s="325">
        <f>FINV(B70,K71,A133)</f>
        <v>1.8401544029285275</v>
      </c>
      <c r="L133" s="326">
        <f>FINV(B70,L71,A133)</f>
        <v>1.7982111324511414</v>
      </c>
      <c r="M133" s="325">
        <f>FINV(B70,M71,A133)</f>
        <v>1.761846605449179</v>
      </c>
      <c r="N133" s="326">
        <f>FINV(B70,N71,A133)</f>
        <v>1.7016671092599522</v>
      </c>
      <c r="O133" s="325">
        <f>FINV(B70,O71,A133)</f>
        <v>1.6536287281666873</v>
      </c>
      <c r="P133" s="326">
        <f>FINV(B70,P71,A133)</f>
        <v>1.5810569063516993</v>
      </c>
      <c r="Q133" s="325">
        <f>FINV(B70,Q71,A133)</f>
        <v>1.5282270137452327</v>
      </c>
      <c r="R133" s="326">
        <f>FINV(B70,R71,A133)</f>
        <v>1.470593507799371</v>
      </c>
      <c r="S133" s="325">
        <f>FINV(B70,S71,A133)</f>
        <v>1.4063049489999258</v>
      </c>
      <c r="T133" s="326">
        <f>FINV(B70,T71,A133)</f>
        <v>1.3632032613300975</v>
      </c>
      <c r="U133" s="325">
        <f>FINV(B70,U71,A133)</f>
        <v>1.2976461279898786</v>
      </c>
      <c r="V133" s="326">
        <f>FINV(B70,V71,A133)</f>
        <v>1.259573520712944</v>
      </c>
      <c r="W133" s="325">
        <f>FINV(B70,W71,A133)</f>
        <v>1.190345911323356</v>
      </c>
      <c r="X133" s="326">
        <f>FINV(B70,X71,A133)</f>
        <v>1.1342122204365293</v>
      </c>
      <c r="Y133" s="326">
        <f>FINV(B70,Y71,A133)</f>
        <v>1.0784360306307859</v>
      </c>
    </row>
    <row r="134" spans="1:25" ht="12.75">
      <c r="A134" s="350">
        <v>99999</v>
      </c>
      <c r="B134" s="332">
        <f>FINV(B70,B71,A134)</f>
        <v>3.841551593803164</v>
      </c>
      <c r="C134" s="331">
        <f>FINV(B70,C71,A134)</f>
        <v>2.995822020366175</v>
      </c>
      <c r="D134" s="332">
        <f>FINV(B70,D71,A134)</f>
        <v>2.604998089453149</v>
      </c>
      <c r="E134" s="331">
        <f>FINV(B70,E71,A134)</f>
        <v>2.3720210638475683</v>
      </c>
      <c r="F134" s="332">
        <f>FINV(B70,F71,A134)</f>
        <v>2.214188879232096</v>
      </c>
      <c r="G134" s="331">
        <f>FINV(B70,G71,A134)</f>
        <v>2.0986880281113063</v>
      </c>
      <c r="H134" s="332">
        <f>FINV(B70,H71,A134)</f>
        <v>2.0096826029839567</v>
      </c>
      <c r="I134" s="331">
        <f>FINV(B70,I71,A134)</f>
        <v>1.9385062801966346</v>
      </c>
      <c r="J134" s="332">
        <f>FINV(B70,J71,A134)</f>
        <v>1.8799796352306863</v>
      </c>
      <c r="K134" s="331">
        <f>FINV(B70,K71,A134)</f>
        <v>1.830798153594515</v>
      </c>
      <c r="L134" s="332">
        <f>FINV(B70,L71,A134)</f>
        <v>1.7887443439745274</v>
      </c>
      <c r="M134" s="331">
        <f>FINV(B70,M71,A134)</f>
        <v>1.7522690851177076</v>
      </c>
      <c r="N134" s="332">
        <f>FINV(B70,N71,A134)</f>
        <v>1.691869649692567</v>
      </c>
      <c r="O134" s="331">
        <f>FINV(B70,O71,A134)</f>
        <v>1.6436152735300316</v>
      </c>
      <c r="P134" s="332">
        <f>FINV(B70,P71,A134)</f>
        <v>1.5706269502134096</v>
      </c>
      <c r="Q134" s="331">
        <f>FINV(B70,Q71,A134)</f>
        <v>1.5174022116925698</v>
      </c>
      <c r="R134" s="332">
        <f>FINV(B70,R71,A134)</f>
        <v>1.4592141332941537</v>
      </c>
      <c r="S134" s="331">
        <f>FINV(B70,S71,A134)</f>
        <v>1.3940857522540684</v>
      </c>
      <c r="T134" s="332">
        <f>FINV(B70,T71,A134)</f>
        <v>1.3502277903717186</v>
      </c>
      <c r="U134" s="331">
        <f>FINV(B70,U71,A134)</f>
        <v>1.2830378559135718</v>
      </c>
      <c r="V134" s="332">
        <f>FINV(B70,V71,A134)</f>
        <v>1.2435848815549253</v>
      </c>
      <c r="W134" s="331">
        <f>FINV(B70,W71,A134)</f>
        <v>1.1701818309389274</v>
      </c>
      <c r="X134" s="332">
        <f>FINV(B70,X71,A134)</f>
        <v>1.106558229677685</v>
      </c>
      <c r="Y134" s="332">
        <f>FINV(B70,Y71,A134)</f>
        <v>1.010457369594592</v>
      </c>
    </row>
    <row r="135" spans="2:12" ht="12.75">
      <c r="B135" s="336"/>
      <c r="C135" s="336"/>
      <c r="D135" s="336"/>
      <c r="E135" s="336"/>
      <c r="F135" s="336"/>
      <c r="G135" s="336"/>
      <c r="H135" s="336"/>
      <c r="I135" s="336"/>
      <c r="J135" s="336"/>
      <c r="K135" s="336"/>
      <c r="L135" s="336"/>
    </row>
    <row r="138" spans="1:16" ht="18">
      <c r="A138" s="469" t="s">
        <v>342</v>
      </c>
      <c r="B138"/>
      <c r="C138"/>
      <c r="D138"/>
      <c r="E138"/>
      <c r="F138"/>
      <c r="G138"/>
      <c r="H138"/>
      <c r="I138"/>
      <c r="J138"/>
      <c r="K138"/>
      <c r="L138"/>
      <c r="M138"/>
      <c r="N138"/>
      <c r="O138"/>
      <c r="P138"/>
    </row>
    <row r="139" spans="1:16" ht="12.75">
      <c r="A139" s="12"/>
      <c r="B139" s="641" t="s">
        <v>343</v>
      </c>
      <c r="C139" s="642"/>
      <c r="D139" s="641" t="s">
        <v>344</v>
      </c>
      <c r="E139" s="643"/>
      <c r="F139" s="642"/>
      <c r="G139" s="641" t="s">
        <v>345</v>
      </c>
      <c r="H139" s="643"/>
      <c r="I139" s="643"/>
      <c r="J139" s="642"/>
      <c r="K139" s="641" t="s">
        <v>346</v>
      </c>
      <c r="L139" s="643"/>
      <c r="M139" s="643"/>
      <c r="N139" s="643"/>
      <c r="O139" s="642"/>
      <c r="P139" s="45"/>
    </row>
    <row r="140" spans="1:16" ht="12.75">
      <c r="A140" s="5"/>
      <c r="B140" s="455" t="s">
        <v>53</v>
      </c>
      <c r="C140" s="456" t="s">
        <v>54</v>
      </c>
      <c r="D140" s="455" t="s">
        <v>53</v>
      </c>
      <c r="E140" s="457" t="s">
        <v>54</v>
      </c>
      <c r="F140" s="456" t="s">
        <v>55</v>
      </c>
      <c r="G140" s="455" t="s">
        <v>53</v>
      </c>
      <c r="H140" s="457" t="s">
        <v>54</v>
      </c>
      <c r="I140" s="457" t="s">
        <v>55</v>
      </c>
      <c r="J140" s="456" t="s">
        <v>56</v>
      </c>
      <c r="K140" s="455" t="s">
        <v>53</v>
      </c>
      <c r="L140" s="457" t="s">
        <v>54</v>
      </c>
      <c r="M140" s="457" t="s">
        <v>55</v>
      </c>
      <c r="N140" s="457" t="s">
        <v>56</v>
      </c>
      <c r="O140" s="456" t="s">
        <v>347</v>
      </c>
      <c r="P140" s="38"/>
    </row>
    <row r="141" spans="1:16" ht="12.75">
      <c r="A141" s="5"/>
      <c r="B141" s="5">
        <v>-1</v>
      </c>
      <c r="C141" s="38">
        <v>1</v>
      </c>
      <c r="D141" s="5">
        <v>-3</v>
      </c>
      <c r="E141" s="6">
        <v>1</v>
      </c>
      <c r="F141" s="38">
        <v>-1</v>
      </c>
      <c r="G141" s="5">
        <v>-2</v>
      </c>
      <c r="H141" s="6">
        <v>2</v>
      </c>
      <c r="I141" s="6">
        <v>-1</v>
      </c>
      <c r="J141" s="38">
        <v>1</v>
      </c>
      <c r="K141" s="5">
        <v>-5</v>
      </c>
      <c r="L141" s="6">
        <v>5</v>
      </c>
      <c r="M141" s="6">
        <v>-5</v>
      </c>
      <c r="N141" s="6">
        <v>1</v>
      </c>
      <c r="O141" s="38">
        <v>-1</v>
      </c>
      <c r="P141" s="38"/>
    </row>
    <row r="142" spans="1:16" ht="12.75">
      <c r="A142" s="5"/>
      <c r="B142" s="5">
        <v>0</v>
      </c>
      <c r="C142" s="38">
        <v>-2</v>
      </c>
      <c r="D142" s="5">
        <v>-1</v>
      </c>
      <c r="E142" s="6">
        <v>-1</v>
      </c>
      <c r="F142" s="38">
        <v>3</v>
      </c>
      <c r="G142" s="5">
        <v>-1</v>
      </c>
      <c r="H142" s="6">
        <v>-1</v>
      </c>
      <c r="I142" s="6">
        <v>2</v>
      </c>
      <c r="J142" s="38">
        <v>-4</v>
      </c>
      <c r="K142" s="5">
        <v>-3</v>
      </c>
      <c r="L142" s="6">
        <v>-1</v>
      </c>
      <c r="M142" s="6">
        <v>7</v>
      </c>
      <c r="N142" s="6">
        <v>-3</v>
      </c>
      <c r="O142" s="38">
        <v>5</v>
      </c>
      <c r="P142" s="38"/>
    </row>
    <row r="143" spans="1:16" ht="12.75">
      <c r="A143" s="5"/>
      <c r="B143" s="5">
        <v>1</v>
      </c>
      <c r="C143" s="38">
        <v>1</v>
      </c>
      <c r="D143" s="5">
        <v>1</v>
      </c>
      <c r="E143" s="6">
        <v>-1</v>
      </c>
      <c r="F143" s="38">
        <v>-3</v>
      </c>
      <c r="G143" s="5">
        <v>0</v>
      </c>
      <c r="H143" s="6">
        <v>-2</v>
      </c>
      <c r="I143" s="6">
        <v>0</v>
      </c>
      <c r="J143" s="38">
        <v>6</v>
      </c>
      <c r="K143" s="5">
        <v>-1</v>
      </c>
      <c r="L143" s="6">
        <v>-4</v>
      </c>
      <c r="M143" s="6">
        <v>4</v>
      </c>
      <c r="N143" s="6">
        <v>2</v>
      </c>
      <c r="O143" s="38">
        <v>-10</v>
      </c>
      <c r="P143" s="38"/>
    </row>
    <row r="144" spans="1:16" ht="12.75">
      <c r="A144" s="5"/>
      <c r="B144" s="5"/>
      <c r="C144" s="38"/>
      <c r="D144" s="5">
        <v>3</v>
      </c>
      <c r="E144" s="6">
        <v>1</v>
      </c>
      <c r="F144" s="38">
        <v>1</v>
      </c>
      <c r="G144" s="5">
        <v>1</v>
      </c>
      <c r="H144" s="6">
        <v>-1</v>
      </c>
      <c r="I144" s="6">
        <v>-2</v>
      </c>
      <c r="J144" s="38">
        <v>-4</v>
      </c>
      <c r="K144" s="5">
        <v>1</v>
      </c>
      <c r="L144" s="6">
        <v>-4</v>
      </c>
      <c r="M144" s="6">
        <v>-4</v>
      </c>
      <c r="N144" s="6">
        <v>2</v>
      </c>
      <c r="O144" s="38">
        <v>10</v>
      </c>
      <c r="P144" s="38"/>
    </row>
    <row r="145" spans="1:16" ht="12.75">
      <c r="A145" s="5"/>
      <c r="B145" s="5"/>
      <c r="C145" s="38"/>
      <c r="D145" s="5"/>
      <c r="E145" s="6"/>
      <c r="F145" s="38"/>
      <c r="G145" s="5">
        <v>2</v>
      </c>
      <c r="H145" s="6">
        <v>2</v>
      </c>
      <c r="I145" s="6">
        <v>1</v>
      </c>
      <c r="J145" s="38">
        <v>1</v>
      </c>
      <c r="K145" s="5">
        <v>3</v>
      </c>
      <c r="L145" s="6">
        <v>-1</v>
      </c>
      <c r="M145" s="6">
        <v>-7</v>
      </c>
      <c r="N145" s="6">
        <v>-3</v>
      </c>
      <c r="O145" s="38">
        <v>-5</v>
      </c>
      <c r="P145" s="38"/>
    </row>
    <row r="146" spans="1:16" ht="13.5" thickBot="1">
      <c r="A146" s="254"/>
      <c r="B146" s="254"/>
      <c r="C146" s="42"/>
      <c r="D146" s="254"/>
      <c r="E146" s="458"/>
      <c r="F146" s="42"/>
      <c r="G146" s="254"/>
      <c r="H146" s="458"/>
      <c r="I146" s="458"/>
      <c r="J146" s="42"/>
      <c r="K146" s="254">
        <v>5</v>
      </c>
      <c r="L146" s="458">
        <v>5</v>
      </c>
      <c r="M146" s="458">
        <v>5</v>
      </c>
      <c r="N146" s="458">
        <v>1</v>
      </c>
      <c r="O146" s="42">
        <v>1</v>
      </c>
      <c r="P146" s="38"/>
    </row>
    <row r="147" spans="1:16" ht="12.75">
      <c r="A147" s="5" t="s">
        <v>167</v>
      </c>
      <c r="B147" s="5">
        <f aca="true" t="shared" si="2" ref="B147:N147">B141^2+B142^2+B143^2+B144^2+B145^2+B146^2</f>
        <v>2</v>
      </c>
      <c r="C147" s="38">
        <f t="shared" si="2"/>
        <v>6</v>
      </c>
      <c r="D147" s="5">
        <f t="shared" si="2"/>
        <v>20</v>
      </c>
      <c r="E147" s="6">
        <f t="shared" si="2"/>
        <v>4</v>
      </c>
      <c r="F147" s="38">
        <f t="shared" si="2"/>
        <v>20</v>
      </c>
      <c r="G147" s="5">
        <f t="shared" si="2"/>
        <v>10</v>
      </c>
      <c r="H147" s="6">
        <f t="shared" si="2"/>
        <v>14</v>
      </c>
      <c r="I147" s="6">
        <f t="shared" si="2"/>
        <v>10</v>
      </c>
      <c r="J147" s="38">
        <f t="shared" si="2"/>
        <v>70</v>
      </c>
      <c r="K147" s="5">
        <f t="shared" si="2"/>
        <v>70</v>
      </c>
      <c r="L147" s="6">
        <f t="shared" si="2"/>
        <v>84</v>
      </c>
      <c r="M147" s="6">
        <f t="shared" si="2"/>
        <v>180</v>
      </c>
      <c r="N147" s="6">
        <f t="shared" si="2"/>
        <v>28</v>
      </c>
      <c r="O147" s="38">
        <f>O141^2+O142^2+O143^2+O144^2+O145^2+O146^2</f>
        <v>252</v>
      </c>
      <c r="P147" s="38"/>
    </row>
    <row r="148" spans="1:16" ht="13.5" thickBot="1">
      <c r="A148" s="459" t="s">
        <v>211</v>
      </c>
      <c r="B148" s="460">
        <v>1</v>
      </c>
      <c r="C148" s="461">
        <v>3</v>
      </c>
      <c r="D148" s="460">
        <v>2</v>
      </c>
      <c r="E148" s="462">
        <v>1</v>
      </c>
      <c r="F148" s="461" t="s">
        <v>348</v>
      </c>
      <c r="G148" s="460">
        <v>1</v>
      </c>
      <c r="H148" s="462">
        <v>1</v>
      </c>
      <c r="I148" s="462" t="s">
        <v>349</v>
      </c>
      <c r="J148" s="461" t="s">
        <v>350</v>
      </c>
      <c r="K148" s="460">
        <v>2</v>
      </c>
      <c r="L148" s="463" t="s">
        <v>351</v>
      </c>
      <c r="M148" s="463" t="s">
        <v>352</v>
      </c>
      <c r="N148" s="463" t="s">
        <v>353</v>
      </c>
      <c r="O148" s="464" t="s">
        <v>354</v>
      </c>
      <c r="P148" s="38"/>
    </row>
    <row r="149" spans="1:16" ht="13.5" thickTop="1">
      <c r="A149" s="5"/>
      <c r="B149" s="622" t="s">
        <v>355</v>
      </c>
      <c r="C149" s="623"/>
      <c r="D149" s="623"/>
      <c r="E149" s="623"/>
      <c r="F149" s="624"/>
      <c r="G149" s="622" t="s">
        <v>356</v>
      </c>
      <c r="H149" s="623"/>
      <c r="I149" s="623"/>
      <c r="J149" s="623"/>
      <c r="K149" s="624"/>
      <c r="L149" s="622" t="s">
        <v>357</v>
      </c>
      <c r="M149" s="623"/>
      <c r="N149" s="623"/>
      <c r="O149" s="623"/>
      <c r="P149" s="624"/>
    </row>
    <row r="150" spans="1:16" ht="12.75">
      <c r="A150" s="5"/>
      <c r="B150" s="455" t="s">
        <v>53</v>
      </c>
      <c r="C150" s="457" t="s">
        <v>54</v>
      </c>
      <c r="D150" s="457" t="s">
        <v>55</v>
      </c>
      <c r="E150" s="457" t="s">
        <v>56</v>
      </c>
      <c r="F150" s="456" t="s">
        <v>347</v>
      </c>
      <c r="G150" s="455" t="s">
        <v>53</v>
      </c>
      <c r="H150" s="457" t="s">
        <v>54</v>
      </c>
      <c r="I150" s="457" t="s">
        <v>55</v>
      </c>
      <c r="J150" s="457" t="s">
        <v>56</v>
      </c>
      <c r="K150" s="456" t="s">
        <v>347</v>
      </c>
      <c r="L150" s="455" t="s">
        <v>53</v>
      </c>
      <c r="M150" s="457" t="s">
        <v>54</v>
      </c>
      <c r="N150" s="457" t="s">
        <v>55</v>
      </c>
      <c r="O150" s="457" t="s">
        <v>56</v>
      </c>
      <c r="P150" s="456" t="s">
        <v>347</v>
      </c>
    </row>
    <row r="151" spans="1:16" ht="12.75">
      <c r="A151" s="5"/>
      <c r="B151" s="5">
        <v>-3</v>
      </c>
      <c r="C151" s="6">
        <v>5</v>
      </c>
      <c r="D151" s="6">
        <v>-1</v>
      </c>
      <c r="E151" s="6">
        <v>3</v>
      </c>
      <c r="F151" s="38">
        <v>-1</v>
      </c>
      <c r="G151" s="5">
        <v>-7</v>
      </c>
      <c r="H151" s="6">
        <v>7</v>
      </c>
      <c r="I151" s="6">
        <v>-7</v>
      </c>
      <c r="J151" s="6">
        <v>7</v>
      </c>
      <c r="K151" s="38">
        <v>-7</v>
      </c>
      <c r="L151" s="5">
        <v>-4</v>
      </c>
      <c r="M151" s="6">
        <v>28</v>
      </c>
      <c r="N151" s="6">
        <v>-14</v>
      </c>
      <c r="O151" s="6">
        <v>14</v>
      </c>
      <c r="P151" s="38">
        <v>-4</v>
      </c>
    </row>
    <row r="152" spans="1:16" ht="12.75">
      <c r="A152" s="5"/>
      <c r="B152" s="5">
        <v>-2</v>
      </c>
      <c r="C152" s="6">
        <v>0</v>
      </c>
      <c r="D152" s="6">
        <v>1</v>
      </c>
      <c r="E152" s="6">
        <v>-7</v>
      </c>
      <c r="F152" s="38">
        <v>4</v>
      </c>
      <c r="G152" s="5">
        <v>-5</v>
      </c>
      <c r="H152" s="6">
        <v>1</v>
      </c>
      <c r="I152" s="6">
        <v>5</v>
      </c>
      <c r="J152" s="6">
        <v>-13</v>
      </c>
      <c r="K152" s="38">
        <v>23</v>
      </c>
      <c r="L152" s="5">
        <v>-3</v>
      </c>
      <c r="M152" s="6">
        <v>7</v>
      </c>
      <c r="N152" s="6">
        <v>7</v>
      </c>
      <c r="O152" s="6">
        <v>-21</v>
      </c>
      <c r="P152" s="38">
        <v>11</v>
      </c>
    </row>
    <row r="153" spans="1:16" ht="12.75">
      <c r="A153" s="5"/>
      <c r="B153" s="5">
        <v>-1</v>
      </c>
      <c r="C153" s="6">
        <v>-3</v>
      </c>
      <c r="D153" s="6">
        <v>1</v>
      </c>
      <c r="E153" s="6">
        <v>1</v>
      </c>
      <c r="F153" s="38">
        <v>-5</v>
      </c>
      <c r="G153" s="5">
        <v>-3</v>
      </c>
      <c r="H153" s="6">
        <v>-3</v>
      </c>
      <c r="I153" s="6">
        <v>7</v>
      </c>
      <c r="J153" s="6">
        <v>-3</v>
      </c>
      <c r="K153" s="38">
        <v>-17</v>
      </c>
      <c r="L153" s="5">
        <v>-2</v>
      </c>
      <c r="M153" s="6">
        <v>-8</v>
      </c>
      <c r="N153" s="6">
        <v>13</v>
      </c>
      <c r="O153" s="6">
        <v>-11</v>
      </c>
      <c r="P153" s="38">
        <v>-4</v>
      </c>
    </row>
    <row r="154" spans="1:16" ht="12.75">
      <c r="A154" s="5"/>
      <c r="B154" s="5">
        <v>0</v>
      </c>
      <c r="C154" s="6">
        <v>-4</v>
      </c>
      <c r="D154" s="6">
        <v>0</v>
      </c>
      <c r="E154" s="6">
        <v>6</v>
      </c>
      <c r="F154" s="38">
        <v>0</v>
      </c>
      <c r="G154" s="5">
        <v>-1</v>
      </c>
      <c r="H154" s="6">
        <v>-5</v>
      </c>
      <c r="I154" s="6">
        <v>3</v>
      </c>
      <c r="J154" s="6">
        <v>9</v>
      </c>
      <c r="K154" s="38">
        <v>-15</v>
      </c>
      <c r="L154" s="5">
        <v>-1</v>
      </c>
      <c r="M154" s="6">
        <v>-17</v>
      </c>
      <c r="N154" s="6">
        <v>9</v>
      </c>
      <c r="O154" s="6">
        <v>9</v>
      </c>
      <c r="P154" s="38">
        <v>-9</v>
      </c>
    </row>
    <row r="155" spans="1:16" ht="12.75">
      <c r="A155" s="5"/>
      <c r="B155" s="5">
        <v>1</v>
      </c>
      <c r="C155" s="6">
        <v>-3</v>
      </c>
      <c r="D155" s="6">
        <v>-1</v>
      </c>
      <c r="E155" s="6">
        <v>1</v>
      </c>
      <c r="F155" s="38">
        <v>5</v>
      </c>
      <c r="G155" s="5">
        <v>1</v>
      </c>
      <c r="H155" s="6">
        <v>-5</v>
      </c>
      <c r="I155" s="6">
        <v>-3</v>
      </c>
      <c r="J155" s="6">
        <v>9</v>
      </c>
      <c r="K155" s="38">
        <v>15</v>
      </c>
      <c r="L155" s="5">
        <v>0</v>
      </c>
      <c r="M155" s="6">
        <v>-20</v>
      </c>
      <c r="N155" s="6">
        <v>0</v>
      </c>
      <c r="O155" s="6">
        <v>18</v>
      </c>
      <c r="P155" s="38">
        <v>0</v>
      </c>
    </row>
    <row r="156" spans="1:16" ht="12.75">
      <c r="A156" s="5"/>
      <c r="B156" s="5">
        <v>2</v>
      </c>
      <c r="C156" s="6">
        <v>0</v>
      </c>
      <c r="D156" s="6">
        <v>-1</v>
      </c>
      <c r="E156" s="6">
        <v>-7</v>
      </c>
      <c r="F156" s="38">
        <v>-4</v>
      </c>
      <c r="G156" s="5">
        <v>3</v>
      </c>
      <c r="H156" s="6">
        <v>-3</v>
      </c>
      <c r="I156" s="6">
        <v>-7</v>
      </c>
      <c r="J156" s="6">
        <v>-3</v>
      </c>
      <c r="K156" s="38">
        <v>17</v>
      </c>
      <c r="L156" s="5">
        <v>1</v>
      </c>
      <c r="M156" s="6">
        <v>-17</v>
      </c>
      <c r="N156" s="6">
        <v>-9</v>
      </c>
      <c r="O156" s="6">
        <v>9</v>
      </c>
      <c r="P156" s="38">
        <v>9</v>
      </c>
    </row>
    <row r="157" spans="1:16" ht="12.75">
      <c r="A157" s="5"/>
      <c r="B157" s="5">
        <v>3</v>
      </c>
      <c r="C157" s="6">
        <v>5</v>
      </c>
      <c r="D157" s="6">
        <v>1</v>
      </c>
      <c r="E157" s="6">
        <v>3</v>
      </c>
      <c r="F157" s="38">
        <v>1</v>
      </c>
      <c r="G157" s="5">
        <v>5</v>
      </c>
      <c r="H157" s="6">
        <v>1</v>
      </c>
      <c r="I157" s="6">
        <v>-5</v>
      </c>
      <c r="J157" s="6">
        <v>-13</v>
      </c>
      <c r="K157" s="38">
        <v>-23</v>
      </c>
      <c r="L157" s="5">
        <v>2</v>
      </c>
      <c r="M157" s="6">
        <v>-8</v>
      </c>
      <c r="N157" s="6">
        <v>-13</v>
      </c>
      <c r="O157" s="6">
        <v>-11</v>
      </c>
      <c r="P157" s="38">
        <v>4</v>
      </c>
    </row>
    <row r="158" spans="1:16" ht="12.75">
      <c r="A158" s="5"/>
      <c r="B158" s="5"/>
      <c r="C158" s="6"/>
      <c r="D158" s="6"/>
      <c r="E158" s="6"/>
      <c r="F158" s="38"/>
      <c r="G158" s="5">
        <v>7</v>
      </c>
      <c r="H158" s="6">
        <v>7</v>
      </c>
      <c r="I158" s="6">
        <v>7</v>
      </c>
      <c r="J158" s="6">
        <v>7</v>
      </c>
      <c r="K158" s="38">
        <v>7</v>
      </c>
      <c r="L158" s="5">
        <v>3</v>
      </c>
      <c r="M158" s="6">
        <v>7</v>
      </c>
      <c r="N158" s="6">
        <v>-7</v>
      </c>
      <c r="O158" s="6">
        <v>-21</v>
      </c>
      <c r="P158" s="38">
        <v>-11</v>
      </c>
    </row>
    <row r="159" spans="1:16" ht="13.5" thickBot="1">
      <c r="A159" s="254"/>
      <c r="B159" s="254"/>
      <c r="C159" s="458"/>
      <c r="D159" s="458"/>
      <c r="E159" s="458"/>
      <c r="F159" s="42"/>
      <c r="G159" s="254"/>
      <c r="H159" s="458"/>
      <c r="I159" s="458"/>
      <c r="J159" s="458"/>
      <c r="K159" s="42"/>
      <c r="L159" s="254">
        <v>4</v>
      </c>
      <c r="M159" s="458">
        <v>28</v>
      </c>
      <c r="N159" s="458">
        <v>14</v>
      </c>
      <c r="O159" s="458">
        <v>14</v>
      </c>
      <c r="P159" s="42">
        <v>4</v>
      </c>
    </row>
    <row r="160" spans="1:16" ht="12.75">
      <c r="A160" s="465" t="s">
        <v>167</v>
      </c>
      <c r="B160" s="465">
        <f>B157^2+B156^2+B155^2+B154^2+B153^2+B152^2+B151^2</f>
        <v>28</v>
      </c>
      <c r="C160" s="463">
        <f>C157^2+C156^2+C155^2+C154^2+C153^2+C152^2+C151^2</f>
        <v>84</v>
      </c>
      <c r="D160" s="463">
        <f>D157^2+D156^2+D155^2+D154^2+D153^2+D152^2+D151^2</f>
        <v>6</v>
      </c>
      <c r="E160" s="463">
        <f>E157^2+E156^2+E155^2+E154^2+E153^2+E152^2+E151^2</f>
        <v>154</v>
      </c>
      <c r="F160" s="464">
        <f>F157^2+F156^2+F155^2+F154^2+F153^2+F152^2+F151^2</f>
        <v>84</v>
      </c>
      <c r="G160" s="465">
        <f>G158^2+G157^2+G156^2+G155^2+G154^2+G153^2+G152^2+G151^2</f>
        <v>168</v>
      </c>
      <c r="H160" s="463">
        <f>H158^2+H157^2+H156^2+H155^2+H154^2+H153^2+H152^2+H151^2</f>
        <v>168</v>
      </c>
      <c r="I160" s="463">
        <f>I158^2+I157^2+I156^2+I155^2+I154^2+I153^2+I152^2+I151^2</f>
        <v>264</v>
      </c>
      <c r="J160" s="463">
        <f>J158^2+J157^2+J156^2+J155^2+J154^2+J153^2+J152^2+J151^2</f>
        <v>616</v>
      </c>
      <c r="K160" s="464">
        <f>K158^2+K157^2+K156^2+K155^2+K154^2+K153^2+K152^2+K151^2</f>
        <v>2184</v>
      </c>
      <c r="L160" s="465">
        <f>L159^2+L158^2+L157^2+L156^2+L155^2+L154^2+L153^2+L152^2+L151^2</f>
        <v>60</v>
      </c>
      <c r="M160" s="463">
        <f>M159^2+M158^2+M157^2+M156^2+M155^2+M154^2+M153^2+M152^2+M151^2</f>
        <v>2772</v>
      </c>
      <c r="N160" s="463">
        <f>N159^2+N158^2+N157^2+N156^2+N155^2+N154^2+N153^2+N152^2+N151^2</f>
        <v>990</v>
      </c>
      <c r="O160" s="463">
        <f>O159^2+O158^2+O157^2+O156^2+O155^2+O154^2+O153^2+O152^2+O151^2</f>
        <v>2002</v>
      </c>
      <c r="P160" s="464">
        <f>P159^2+P158^2+P157^2+P156^2+P155^2+P154^2+P153^2+P152^2+P151^2</f>
        <v>468</v>
      </c>
    </row>
    <row r="161" spans="1:16" ht="13.5" thickBot="1">
      <c r="A161" s="459" t="s">
        <v>211</v>
      </c>
      <c r="B161" s="459">
        <v>1</v>
      </c>
      <c r="C161" s="466">
        <v>1</v>
      </c>
      <c r="D161" s="466" t="s">
        <v>358</v>
      </c>
      <c r="E161" s="466" t="s">
        <v>353</v>
      </c>
      <c r="F161" s="467" t="s">
        <v>359</v>
      </c>
      <c r="G161" s="459">
        <v>2</v>
      </c>
      <c r="H161" s="466">
        <v>1</v>
      </c>
      <c r="I161" s="466" t="s">
        <v>360</v>
      </c>
      <c r="J161" s="466" t="s">
        <v>353</v>
      </c>
      <c r="K161" s="467" t="s">
        <v>361</v>
      </c>
      <c r="L161" s="459">
        <v>1</v>
      </c>
      <c r="M161" s="466">
        <v>3</v>
      </c>
      <c r="N161" s="466" t="s">
        <v>349</v>
      </c>
      <c r="O161" s="466" t="s">
        <v>353</v>
      </c>
      <c r="P161" s="467" t="s">
        <v>362</v>
      </c>
    </row>
    <row r="162" spans="1:16" ht="13.5" thickTop="1">
      <c r="A162" s="5"/>
      <c r="B162" s="644" t="s">
        <v>363</v>
      </c>
      <c r="C162" s="645"/>
      <c r="D162" s="645"/>
      <c r="E162" s="645"/>
      <c r="F162" s="646"/>
      <c r="G162" s="644" t="s">
        <v>364</v>
      </c>
      <c r="H162" s="645"/>
      <c r="I162" s="645"/>
      <c r="J162" s="645"/>
      <c r="K162" s="646"/>
      <c r="L162" s="644" t="s">
        <v>365</v>
      </c>
      <c r="M162" s="645"/>
      <c r="N162" s="645"/>
      <c r="O162" s="645"/>
      <c r="P162" s="646"/>
    </row>
    <row r="163" spans="1:16" ht="12.75">
      <c r="A163" s="5"/>
      <c r="B163" s="455" t="s">
        <v>53</v>
      </c>
      <c r="C163" s="457" t="s">
        <v>54</v>
      </c>
      <c r="D163" s="457" t="s">
        <v>55</v>
      </c>
      <c r="E163" s="457" t="s">
        <v>56</v>
      </c>
      <c r="F163" s="456" t="s">
        <v>347</v>
      </c>
      <c r="G163" s="455" t="s">
        <v>53</v>
      </c>
      <c r="H163" s="457" t="s">
        <v>54</v>
      </c>
      <c r="I163" s="457" t="s">
        <v>55</v>
      </c>
      <c r="J163" s="457" t="s">
        <v>56</v>
      </c>
      <c r="K163" s="456" t="s">
        <v>347</v>
      </c>
      <c r="L163" s="455" t="s">
        <v>53</v>
      </c>
      <c r="M163" s="457" t="s">
        <v>54</v>
      </c>
      <c r="N163" s="457" t="s">
        <v>55</v>
      </c>
      <c r="O163" s="457" t="s">
        <v>56</v>
      </c>
      <c r="P163" s="456" t="s">
        <v>347</v>
      </c>
    </row>
    <row r="164" spans="1:16" ht="12.75">
      <c r="A164" s="5"/>
      <c r="B164" s="5">
        <v>-9</v>
      </c>
      <c r="C164" s="6">
        <v>6</v>
      </c>
      <c r="D164" s="6">
        <v>-42</v>
      </c>
      <c r="E164" s="6">
        <v>-18</v>
      </c>
      <c r="F164" s="38">
        <v>-6</v>
      </c>
      <c r="G164" s="5">
        <v>-5</v>
      </c>
      <c r="H164" s="6">
        <v>15</v>
      </c>
      <c r="I164" s="6">
        <v>-30</v>
      </c>
      <c r="J164" s="6">
        <v>6</v>
      </c>
      <c r="K164" s="38">
        <v>-3</v>
      </c>
      <c r="L164" s="5">
        <v>-11</v>
      </c>
      <c r="M164" s="6">
        <v>55</v>
      </c>
      <c r="N164" s="6">
        <v>-33</v>
      </c>
      <c r="O164" s="6">
        <v>33</v>
      </c>
      <c r="P164" s="38">
        <v>-33</v>
      </c>
    </row>
    <row r="165" spans="1:16" ht="12.75">
      <c r="A165" s="5"/>
      <c r="B165" s="5">
        <v>-7</v>
      </c>
      <c r="C165" s="6">
        <v>2</v>
      </c>
      <c r="D165" s="6">
        <v>14</v>
      </c>
      <c r="E165" s="6">
        <v>22</v>
      </c>
      <c r="F165" s="38">
        <v>14</v>
      </c>
      <c r="G165" s="5">
        <v>-4</v>
      </c>
      <c r="H165" s="6">
        <v>6</v>
      </c>
      <c r="I165" s="6">
        <v>6</v>
      </c>
      <c r="J165" s="6">
        <v>-6</v>
      </c>
      <c r="K165" s="38">
        <v>6</v>
      </c>
      <c r="L165" s="5">
        <v>-9</v>
      </c>
      <c r="M165" s="6">
        <v>25</v>
      </c>
      <c r="N165" s="6">
        <v>3</v>
      </c>
      <c r="O165" s="6">
        <v>-27</v>
      </c>
      <c r="P165" s="38">
        <v>57</v>
      </c>
    </row>
    <row r="166" spans="1:16" ht="12.75">
      <c r="A166" s="5"/>
      <c r="B166" s="5">
        <v>-5</v>
      </c>
      <c r="C166" s="6">
        <v>-1</v>
      </c>
      <c r="D166" s="6">
        <v>35</v>
      </c>
      <c r="E166" s="6">
        <v>17</v>
      </c>
      <c r="F166" s="38">
        <v>-1</v>
      </c>
      <c r="G166" s="5">
        <v>-3</v>
      </c>
      <c r="H166" s="6">
        <v>-1</v>
      </c>
      <c r="I166" s="6">
        <v>22</v>
      </c>
      <c r="J166" s="6">
        <v>-6</v>
      </c>
      <c r="K166" s="38">
        <v>1</v>
      </c>
      <c r="L166" s="5">
        <v>-7</v>
      </c>
      <c r="M166" s="6">
        <v>1</v>
      </c>
      <c r="N166" s="6">
        <v>21</v>
      </c>
      <c r="O166" s="6">
        <v>-33</v>
      </c>
      <c r="P166" s="38">
        <v>21</v>
      </c>
    </row>
    <row r="167" spans="1:16" ht="12.75">
      <c r="A167" s="5"/>
      <c r="B167" s="5">
        <v>-3</v>
      </c>
      <c r="C167" s="6">
        <v>-3</v>
      </c>
      <c r="D167" s="6">
        <v>31</v>
      </c>
      <c r="E167" s="6">
        <v>-3</v>
      </c>
      <c r="F167" s="38">
        <v>-11</v>
      </c>
      <c r="G167" s="5">
        <v>-2</v>
      </c>
      <c r="H167" s="6">
        <v>-6</v>
      </c>
      <c r="I167" s="6">
        <v>23</v>
      </c>
      <c r="J167" s="6">
        <v>-1</v>
      </c>
      <c r="K167" s="38">
        <v>-4</v>
      </c>
      <c r="L167" s="5">
        <v>-5</v>
      </c>
      <c r="M167" s="6">
        <v>-17</v>
      </c>
      <c r="N167" s="6">
        <v>25</v>
      </c>
      <c r="O167" s="6">
        <v>-13</v>
      </c>
      <c r="P167" s="38">
        <v>-29</v>
      </c>
    </row>
    <row r="168" spans="1:16" ht="12.75">
      <c r="A168" s="5"/>
      <c r="B168" s="5">
        <v>-1</v>
      </c>
      <c r="C168" s="6">
        <v>-4</v>
      </c>
      <c r="D168" s="6">
        <v>13</v>
      </c>
      <c r="E168" s="6">
        <v>-18</v>
      </c>
      <c r="F168" s="38">
        <v>-6</v>
      </c>
      <c r="G168" s="5">
        <v>-1</v>
      </c>
      <c r="H168" s="6">
        <v>-9</v>
      </c>
      <c r="I168" s="6">
        <v>14</v>
      </c>
      <c r="J168" s="6">
        <v>4</v>
      </c>
      <c r="K168" s="38">
        <v>-4</v>
      </c>
      <c r="L168" s="5">
        <v>-3</v>
      </c>
      <c r="M168" s="6">
        <v>-29</v>
      </c>
      <c r="N168" s="6">
        <v>19</v>
      </c>
      <c r="O168" s="6">
        <v>12</v>
      </c>
      <c r="P168" s="38">
        <v>-44</v>
      </c>
    </row>
    <row r="169" spans="1:16" ht="12.75">
      <c r="A169" s="5"/>
      <c r="B169" s="5">
        <v>1</v>
      </c>
      <c r="C169" s="6">
        <v>-4</v>
      </c>
      <c r="D169" s="6">
        <v>-13</v>
      </c>
      <c r="E169" s="6">
        <v>18</v>
      </c>
      <c r="F169" s="38">
        <v>6</v>
      </c>
      <c r="G169" s="5">
        <v>0</v>
      </c>
      <c r="H169" s="6">
        <v>-10</v>
      </c>
      <c r="I169" s="6">
        <v>0</v>
      </c>
      <c r="J169" s="6">
        <v>6</v>
      </c>
      <c r="K169" s="38">
        <v>0</v>
      </c>
      <c r="L169" s="5">
        <v>-1</v>
      </c>
      <c r="M169" s="6">
        <v>-35</v>
      </c>
      <c r="N169" s="6">
        <v>7</v>
      </c>
      <c r="O169" s="6">
        <v>28</v>
      </c>
      <c r="P169" s="38">
        <v>-20</v>
      </c>
    </row>
    <row r="170" spans="1:16" ht="12.75">
      <c r="A170" s="5"/>
      <c r="B170" s="5">
        <v>3</v>
      </c>
      <c r="C170" s="6">
        <v>-3</v>
      </c>
      <c r="D170" s="6">
        <v>-31</v>
      </c>
      <c r="E170" s="6">
        <v>3</v>
      </c>
      <c r="F170" s="38">
        <v>11</v>
      </c>
      <c r="G170" s="5">
        <v>1</v>
      </c>
      <c r="H170" s="6">
        <v>-9</v>
      </c>
      <c r="I170" s="6">
        <v>-14</v>
      </c>
      <c r="J170" s="6">
        <v>4</v>
      </c>
      <c r="K170" s="38">
        <v>4</v>
      </c>
      <c r="L170" s="5">
        <v>1</v>
      </c>
      <c r="M170" s="6">
        <v>-35</v>
      </c>
      <c r="N170" s="6">
        <v>-7</v>
      </c>
      <c r="O170" s="6">
        <v>28</v>
      </c>
      <c r="P170" s="38">
        <v>20</v>
      </c>
    </row>
    <row r="171" spans="1:16" ht="12.75">
      <c r="A171" s="5"/>
      <c r="B171" s="5">
        <v>5</v>
      </c>
      <c r="C171" s="6">
        <v>-1</v>
      </c>
      <c r="D171" s="6">
        <v>-35</v>
      </c>
      <c r="E171" s="6">
        <v>-17</v>
      </c>
      <c r="F171" s="38">
        <v>1</v>
      </c>
      <c r="G171" s="5">
        <v>2</v>
      </c>
      <c r="H171" s="6">
        <v>-6</v>
      </c>
      <c r="I171" s="6">
        <v>-23</v>
      </c>
      <c r="J171" s="6">
        <v>-1</v>
      </c>
      <c r="K171" s="38">
        <v>4</v>
      </c>
      <c r="L171" s="5">
        <v>3</v>
      </c>
      <c r="M171" s="6">
        <v>-29</v>
      </c>
      <c r="N171" s="6">
        <v>-19</v>
      </c>
      <c r="O171" s="6">
        <v>12</v>
      </c>
      <c r="P171" s="38">
        <v>44</v>
      </c>
    </row>
    <row r="172" spans="1:16" ht="12.75">
      <c r="A172" s="5"/>
      <c r="B172" s="5">
        <v>7</v>
      </c>
      <c r="C172" s="6">
        <v>2</v>
      </c>
      <c r="D172" s="6">
        <v>-14</v>
      </c>
      <c r="E172" s="6">
        <v>-22</v>
      </c>
      <c r="F172" s="38">
        <v>-14</v>
      </c>
      <c r="G172" s="5">
        <v>3</v>
      </c>
      <c r="H172" s="6">
        <v>-1</v>
      </c>
      <c r="I172" s="6">
        <v>-22</v>
      </c>
      <c r="J172" s="6">
        <v>-6</v>
      </c>
      <c r="K172" s="38">
        <v>-1</v>
      </c>
      <c r="L172" s="5">
        <v>5</v>
      </c>
      <c r="M172" s="6">
        <v>-17</v>
      </c>
      <c r="N172" s="6">
        <v>-25</v>
      </c>
      <c r="O172" s="6">
        <v>-13</v>
      </c>
      <c r="P172" s="38">
        <v>29</v>
      </c>
    </row>
    <row r="173" spans="1:16" ht="12.75">
      <c r="A173" s="5"/>
      <c r="B173" s="5">
        <v>9</v>
      </c>
      <c r="C173" s="6">
        <v>6</v>
      </c>
      <c r="D173" s="6">
        <v>42</v>
      </c>
      <c r="E173" s="6">
        <v>18</v>
      </c>
      <c r="F173" s="38">
        <v>6</v>
      </c>
      <c r="G173" s="5">
        <v>4</v>
      </c>
      <c r="H173" s="6">
        <v>6</v>
      </c>
      <c r="I173" s="6">
        <v>-6</v>
      </c>
      <c r="J173" s="6">
        <v>-6</v>
      </c>
      <c r="K173" s="38">
        <v>-6</v>
      </c>
      <c r="L173" s="5">
        <v>7</v>
      </c>
      <c r="M173" s="6">
        <v>1</v>
      </c>
      <c r="N173" s="6">
        <v>-21</v>
      </c>
      <c r="O173" s="6">
        <v>-33</v>
      </c>
      <c r="P173" s="38">
        <v>-21</v>
      </c>
    </row>
    <row r="174" spans="1:16" ht="12.75">
      <c r="A174" s="5"/>
      <c r="B174" s="5"/>
      <c r="C174" s="6"/>
      <c r="D174" s="6"/>
      <c r="E174" s="6"/>
      <c r="F174" s="38"/>
      <c r="G174" s="5">
        <v>5</v>
      </c>
      <c r="H174" s="6">
        <v>15</v>
      </c>
      <c r="I174" s="6">
        <v>30</v>
      </c>
      <c r="J174" s="6">
        <v>6</v>
      </c>
      <c r="K174" s="38">
        <v>3</v>
      </c>
      <c r="L174" s="5">
        <v>9</v>
      </c>
      <c r="M174" s="6">
        <v>25</v>
      </c>
      <c r="N174" s="6">
        <v>-3</v>
      </c>
      <c r="O174" s="6">
        <v>-27</v>
      </c>
      <c r="P174" s="38">
        <v>-57</v>
      </c>
    </row>
    <row r="175" spans="1:16" ht="13.5" thickBot="1">
      <c r="A175" s="254"/>
      <c r="B175" s="254"/>
      <c r="C175" s="458"/>
      <c r="D175" s="458"/>
      <c r="E175" s="458"/>
      <c r="F175" s="42"/>
      <c r="G175" s="254"/>
      <c r="H175" s="458"/>
      <c r="I175" s="458"/>
      <c r="J175" s="458"/>
      <c r="K175" s="42"/>
      <c r="L175" s="254">
        <v>11</v>
      </c>
      <c r="M175" s="458">
        <v>55</v>
      </c>
      <c r="N175" s="458">
        <v>33</v>
      </c>
      <c r="O175" s="458">
        <v>33</v>
      </c>
      <c r="P175" s="42">
        <v>33</v>
      </c>
    </row>
    <row r="176" spans="1:16" ht="12.75">
      <c r="A176" s="465" t="s">
        <v>167</v>
      </c>
      <c r="B176" s="465">
        <f>B173^2+B172^2+B171^2+B170^2+B169^2+B168^2+B167^2+B166^2+B165^2+B164^2</f>
        <v>330</v>
      </c>
      <c r="C176" s="463">
        <f>C173^2+C172^2+C171^2+C170^2+C169^2+C168^2+C167^2+C166^2+C165^2+C164^2</f>
        <v>132</v>
      </c>
      <c r="D176" s="463">
        <f>D173^2+D172^2+D171^2+D170^2+D169^2+D168^2+D167^2+D166^2+D165^2+D164^2</f>
        <v>8630</v>
      </c>
      <c r="E176" s="463">
        <f>E173^2+E172^2+E171^2+E170^2+E169^2+E168^2+E167^2+E166^2+E165^2+E164^2</f>
        <v>2860</v>
      </c>
      <c r="F176" s="464">
        <f>F173^2+F172^2+F171^2+F170^2+F169^2+F168^2+F167^2+F166^2+F165^2+F164^2</f>
        <v>780</v>
      </c>
      <c r="G176" s="465">
        <f>G174^2+G173^2+G172^2+G171^2+G170^2+G169^2+G168^2+G167^2+G166^2+G165^2+G164^2</f>
        <v>110</v>
      </c>
      <c r="H176" s="463">
        <f>H174^2+H173^2+H172^2+H171^2+H170^2+H169^2+H168^2+H167^2+H166^2+H165^2+H164^2</f>
        <v>858</v>
      </c>
      <c r="I176" s="463">
        <f>I174^2+I173^2+I172^2+I171^2+I170^2+I169^2+I168^2+I167^2+I166^2+I165^2+I164^2</f>
        <v>4290</v>
      </c>
      <c r="J176" s="463">
        <f>J174^2+J173^2+J172^2+J171^2+J170^2+J169^2+J168^2+J167^2+J166^2+J165^2+J164^2</f>
        <v>286</v>
      </c>
      <c r="K176" s="464">
        <f>K174^2+K173^2+K172^2+K171^2+K170^2+K169^2+K168^2+K167^2+K166^2+K165^2+K164^2</f>
        <v>156</v>
      </c>
      <c r="L176" s="465">
        <f>L175^2+L174^2+L173^2+L172^2+L171^2+L170^2+L169^2+L168^2+L167^2+L166^2+L165^2+L164^2</f>
        <v>572</v>
      </c>
      <c r="M176" s="463">
        <f>M175^2+M174^2+M173^2+M172^2+M171^2+M170^2+M169^2+M168^2+M167^2+M166^2+M165^2+M164^2</f>
        <v>12012</v>
      </c>
      <c r="N176" s="463">
        <f>N175^2+N174^2+N173^2+N172^2+N171^2+N170^2+N169^2+N168^2+N167^2+N166^2+N165^2+N164^2</f>
        <v>5148</v>
      </c>
      <c r="O176" s="463">
        <f>O175^2+O174^2+O173^2+O172^2+O171^2+O170^2+O169^2+O168^2+O167^2+O166^2+O165^2+O164^2</f>
        <v>8008</v>
      </c>
      <c r="P176" s="464">
        <f>P175^2+P174^2+P173^2+P172^2+P171^2+P170^2+P169^2+P168^2+P167^2+P166^2+P165^2+P164^2</f>
        <v>15912</v>
      </c>
    </row>
    <row r="177" spans="1:16" ht="12.75">
      <c r="A177" s="460" t="s">
        <v>211</v>
      </c>
      <c r="B177" s="460">
        <v>2</v>
      </c>
      <c r="C177" s="462" t="s">
        <v>366</v>
      </c>
      <c r="D177" s="462" t="s">
        <v>352</v>
      </c>
      <c r="E177" s="462" t="s">
        <v>367</v>
      </c>
      <c r="F177" s="461" t="s">
        <v>368</v>
      </c>
      <c r="G177" s="460">
        <v>1</v>
      </c>
      <c r="H177" s="462">
        <v>1</v>
      </c>
      <c r="I177" s="462" t="s">
        <v>349</v>
      </c>
      <c r="J177" s="462" t="s">
        <v>369</v>
      </c>
      <c r="K177" s="461" t="s">
        <v>370</v>
      </c>
      <c r="L177" s="460">
        <v>2</v>
      </c>
      <c r="M177" s="462">
        <v>3</v>
      </c>
      <c r="N177" s="462" t="s">
        <v>360</v>
      </c>
      <c r="O177" s="468" t="s">
        <v>371</v>
      </c>
      <c r="P177" s="461" t="s">
        <v>362</v>
      </c>
    </row>
  </sheetData>
  <sheetProtection password="89E6" sheet="1" objects="1" scenarios="1"/>
  <mergeCells count="10">
    <mergeCell ref="B149:F149"/>
    <mergeCell ref="G149:K149"/>
    <mergeCell ref="L149:P149"/>
    <mergeCell ref="B162:F162"/>
    <mergeCell ref="G162:K162"/>
    <mergeCell ref="L162:P162"/>
    <mergeCell ref="B139:C139"/>
    <mergeCell ref="D139:F139"/>
    <mergeCell ref="G139:J139"/>
    <mergeCell ref="K139:O139"/>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mpontigo</dc:creator>
  <cp:keywords/>
  <dc:description/>
  <cp:lastModifiedBy>Instituto Tecnologico de Costa Rica</cp:lastModifiedBy>
  <dcterms:created xsi:type="dcterms:W3CDTF">2005-02-07T19:56:54Z</dcterms:created>
  <dcterms:modified xsi:type="dcterms:W3CDTF">2007-04-12T15:52:54Z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